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520" tabRatio="923" activeTab="10"/>
  </bookViews>
  <sheets>
    <sheet name="būvkopt" sheetId="1" r:id="rId1"/>
    <sheet name="kopt" sheetId="2" r:id="rId2"/>
    <sheet name="kops" sheetId="3" r:id="rId3"/>
    <sheet name="1 fasade" sheetId="4" r:id="rId4"/>
    <sheet name="2 jumts" sheetId="5" r:id="rId5"/>
    <sheet name="3logi" sheetId="6" r:id="rId6"/>
    <sheet name="Sheet1" sheetId="7" state="hidden" r:id="rId7"/>
    <sheet name="apjomi" sheetId="8" state="hidden" r:id="rId8"/>
    <sheet name="4 kāpņu telpa" sheetId="9" r:id="rId9"/>
    <sheet name="5 WC telpas" sheetId="10" r:id="rId10"/>
    <sheet name="5 sporta zāle" sheetId="11" r:id="rId11"/>
  </sheets>
  <definedNames>
    <definedName name="_xlnm.Print_Area" localSheetId="3">'1 fasade'!$A$1:$P$73</definedName>
    <definedName name="_xlnm.Print_Area" localSheetId="2">'kops'!$A$1:$H$28</definedName>
  </definedNames>
  <calcPr fullCalcOnLoad="1" fullPrecision="0"/>
</workbook>
</file>

<file path=xl/sharedStrings.xml><?xml version="1.0" encoding="utf-8"?>
<sst xmlns="http://schemas.openxmlformats.org/spreadsheetml/2006/main" count="1232" uniqueCount="374">
  <si>
    <t>Durvis</t>
  </si>
  <si>
    <t>D-1</t>
  </si>
  <si>
    <t>D-2</t>
  </si>
  <si>
    <t>D-3</t>
  </si>
  <si>
    <t>D-4</t>
  </si>
  <si>
    <t>D-5</t>
  </si>
  <si>
    <t>sporta zale</t>
  </si>
  <si>
    <t>Galvena ēka</t>
  </si>
  <si>
    <t>Lokāla tāme 3</t>
  </si>
  <si>
    <t>FASĀDE</t>
  </si>
  <si>
    <t>(darba veids vai konstruktīvā nosaukums)</t>
  </si>
  <si>
    <t>Būves nosaukums:</t>
  </si>
  <si>
    <t>Objekta nosaukums:</t>
  </si>
  <si>
    <t>Būves adrese:</t>
  </si>
  <si>
    <t>Pasūtījuma Nr.:</t>
  </si>
  <si>
    <t>Tāmes izmaksas</t>
  </si>
  <si>
    <t>Nr.p.k.</t>
  </si>
  <si>
    <t>Kods</t>
  </si>
  <si>
    <t>Darba nosaukums</t>
  </si>
  <si>
    <t>Mēra vien.</t>
  </si>
  <si>
    <t>Daudz.</t>
  </si>
  <si>
    <t>Vienības izmaksas</t>
  </si>
  <si>
    <t>Kopējās izmaksas /Ls/</t>
  </si>
  <si>
    <t>laika norma (c/h)</t>
  </si>
  <si>
    <t>darba samaksas likme               (Ls/h)</t>
  </si>
  <si>
    <t>darba alga          (Ls)</t>
  </si>
  <si>
    <t>materiāli             (Ls)</t>
  </si>
  <si>
    <t>mehānismi                (Ls)</t>
  </si>
  <si>
    <t>Kopā        (Ls)</t>
  </si>
  <si>
    <t>darbietilpība             (c/h)</t>
  </si>
  <si>
    <t>darba alga         (Ls)</t>
  </si>
  <si>
    <t>materiāli  (Ls)</t>
  </si>
  <si>
    <t>mehānismi                 (Ls)</t>
  </si>
  <si>
    <t>Summa  (Ls)</t>
  </si>
  <si>
    <t>m2</t>
  </si>
  <si>
    <t>Metāla inventārsastatņu lietošana fasāžu apdares darbos (noma), sastatņu izbūve un nojaukšana</t>
  </si>
  <si>
    <t>kg</t>
  </si>
  <si>
    <t>cokola profils</t>
  </si>
  <si>
    <t>m</t>
  </si>
  <si>
    <t>gab</t>
  </si>
  <si>
    <t>līme "Sakret" BK</t>
  </si>
  <si>
    <t>dībelis</t>
  </si>
  <si>
    <t>stiklšķiedras siets</t>
  </si>
  <si>
    <t>līme "Sakret" BAK</t>
  </si>
  <si>
    <t>l</t>
  </si>
  <si>
    <t>Palodžu notekņu ierīkošana no "Ruukki" materiālēm (nomaiņa)</t>
  </si>
  <si>
    <t>skārds</t>
  </si>
  <si>
    <t>kpl</t>
  </si>
  <si>
    <t>Cokols</t>
  </si>
  <si>
    <t xml:space="preserve"> Aizsargapmale</t>
  </si>
  <si>
    <t>m3</t>
  </si>
  <si>
    <t>Betona  apmales  pamatnes  blietēšana   ar   šķembu smalci 100mm biez.</t>
  </si>
  <si>
    <t>Būvgružu savākšana, iekraušana automašīnā un izvešana  uz izgāztuvi</t>
  </si>
  <si>
    <t>Kopā :</t>
  </si>
  <si>
    <t>Ls</t>
  </si>
  <si>
    <t>Materiālu un būvgružu transporta izdevumi 5%</t>
  </si>
  <si>
    <t xml:space="preserve">Tiešās izmaksas kopā : </t>
  </si>
  <si>
    <t xml:space="preserve">      Sastādīja : ___________________ I.Bernatoviča</t>
  </si>
  <si>
    <t xml:space="preserve">   Pārbaudīja : __________________</t>
  </si>
  <si>
    <t>Sert. Nr. 20-6306</t>
  </si>
  <si>
    <t>Sert. Nr.</t>
  </si>
  <si>
    <t>krāsa</t>
  </si>
  <si>
    <t>Fasādes siltināšana</t>
  </si>
  <si>
    <t>Pamatu hidroizolācija ar bit. mastiku 2 kārtas</t>
  </si>
  <si>
    <t>Pamatnes izveidošana no blietētās smilts aizsargapmalei b=200mm</t>
  </si>
  <si>
    <t>JUMTS</t>
  </si>
  <si>
    <t>Lokāla tāme 1</t>
  </si>
  <si>
    <t>Lokāla tāme 2</t>
  </si>
  <si>
    <t xml:space="preserve">Tvaika izolācijas </t>
  </si>
  <si>
    <t>t.m.</t>
  </si>
  <si>
    <t>LOGI, DURVIS</t>
  </si>
  <si>
    <t>Logu bloku demontāža</t>
  </si>
  <si>
    <t>Būvniecības koptāme</t>
  </si>
  <si>
    <t>Lokālās tāmes Nr.</t>
  </si>
  <si>
    <t>Objekta darbu nosaukums</t>
  </si>
  <si>
    <t>Tāmes izmaksas (Ls)</t>
  </si>
  <si>
    <t>1</t>
  </si>
  <si>
    <t>KOPĀ:</t>
  </si>
  <si>
    <t> PAVISAM BŪVNIECĪBAS IZMAKSAS:</t>
  </si>
  <si>
    <t> Ar būvniecību saistītie pārējie izdevumi:</t>
  </si>
  <si>
    <t> izpētes un projektēšanas darbi</t>
  </si>
  <si>
    <t> būvprojekta ekspertīze</t>
  </si>
  <si>
    <t>Sastādīja :</t>
  </si>
  <si>
    <t>(paraksts un tā atšifrējums, datums)</t>
  </si>
  <si>
    <t>Sertifikāta Nr.</t>
  </si>
  <si>
    <t>Kopsavilkuma aprēķini pa darbu vai konstruktīvo elementu veidiem</t>
  </si>
  <si>
    <t>(darba veids vai konstruktīva elementa nosaukums)</t>
  </si>
  <si>
    <t xml:space="preserve">                                       Par kopējo summu, Ls </t>
  </si>
  <si>
    <t xml:space="preserve">                         Kopējā darbietilpība, c/h </t>
  </si>
  <si>
    <t>Nr. p.k.</t>
  </si>
  <si>
    <t>Kods, tāmes Nr.</t>
  </si>
  <si>
    <t>Darba, vai konstruktīvā elementa nosaukums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</si>
  <si>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</si>
  <si>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</si>
  <si>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</si>
  <si>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</si>
  <si>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</si>
  <si>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</si>
  <si>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>Darba devēja sociālais nodoklis (24,09 %)</t>
  </si>
  <si>
    <t> Finanšu rezerve neparedzētiem darbiem %:</t>
  </si>
  <si>
    <t>gb</t>
  </si>
  <si>
    <t>naglas</t>
  </si>
  <si>
    <t xml:space="preserve">Grunts </t>
  </si>
  <si>
    <t xml:space="preserve">Pasūtījuma Nr.: </t>
  </si>
  <si>
    <t>L-1</t>
  </si>
  <si>
    <t>L-2</t>
  </si>
  <si>
    <t>L-3</t>
  </si>
  <si>
    <t>L-4</t>
  </si>
  <si>
    <t>L-5</t>
  </si>
  <si>
    <t>L-6</t>
  </si>
  <si>
    <t>b</t>
  </si>
  <si>
    <t>h</t>
  </si>
  <si>
    <t>Dauds</t>
  </si>
  <si>
    <t>S</t>
  </si>
  <si>
    <t>Kopā</t>
  </si>
  <si>
    <t>Ailas, m</t>
  </si>
  <si>
    <t>Iekš. palodze,m</t>
  </si>
  <si>
    <t>ar.palodz,m</t>
  </si>
  <si>
    <t>Ailas, m2</t>
  </si>
  <si>
    <t>Raiņa 51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</si>
  <si>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</si>
  <si>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</si>
  <si>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</si>
  <si>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</si>
  <si>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</si>
  <si>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</si>
  <si>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</si>
  <si>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</si>
  <si>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</si>
  <si>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metāla stiprinājumi,enkuri</t>
  </si>
  <si>
    <t>ruberoīds</t>
  </si>
  <si>
    <t>Ugunsizturīgā  krāsa</t>
  </si>
  <si>
    <t xml:space="preserve">Būvgrūžu savākšana, iekraušana automašīnā  un  izvešana uz izgāztuvi </t>
  </si>
  <si>
    <t xml:space="preserve">Jumta koka konstrukciju remonts, bojato elementu nomaiņa ar antiseptētiem  zāģmateriāliem </t>
  </si>
  <si>
    <t xml:space="preserve">apmetuma javas </t>
  </si>
  <si>
    <t>krāsa SADOLIN F vai ekvivalents</t>
  </si>
  <si>
    <t>PVN 21%:</t>
  </si>
  <si>
    <t>strukturkrāsa Sadolin Sando M vai ekvivalents</t>
  </si>
  <si>
    <t>Sieta stiprināšana fasādes un ailsānu virsmā</t>
  </si>
  <si>
    <t>Sienas un ailsānu virsmu krāsošana divās kārtās ar tonēto struktureto krāsu</t>
  </si>
  <si>
    <t>Palodžu uzstadīšana no iekšpūses</t>
  </si>
  <si>
    <t xml:space="preserve">grunts </t>
  </si>
  <si>
    <t>Fasāžu virsmu un ailsānu attīrīšana un apstrāde ar gruntējošu sastāvu</t>
  </si>
  <si>
    <t xml:space="preserve">Cokola sienas atrakšana 120cm dziļumā (zem sasaluma līmeņa dziļumā) Grunts izstrādāšana ar roku darbu </t>
  </si>
  <si>
    <t>Ieejas mezglu pakāpienu remonts</t>
  </si>
  <si>
    <t>Flīžu segums ar pretslīdes virsmu uz salizturīgas flīžu līmes.</t>
  </si>
  <si>
    <t>dažadi stūra profili</t>
  </si>
  <si>
    <t>Betona aizsargapmales ierīkošana no B15, b=100mm ar stiegrojumu</t>
  </si>
  <si>
    <t>Plaisu tīrīšana un aizpildīšana ar javu</t>
  </si>
  <si>
    <t>Dažādi darbi</t>
  </si>
  <si>
    <t>EL skapju demontāža un montāža</t>
  </si>
  <si>
    <t>LOGI</t>
  </si>
  <si>
    <t>Aizrakto sienu  pēc  siltināšanas aizberšana ar filtrējošu (drenējošu) materiālu un blietēšana</t>
  </si>
  <si>
    <t>drenējošs slānis</t>
  </si>
  <si>
    <t>Cokola apmetuma virsmu remonts (30%)</t>
  </si>
  <si>
    <t>Bēniņu pārseguma tvaika izolācijas ierīkošana</t>
  </si>
  <si>
    <t>JUMTS un BĒNIŅI</t>
  </si>
  <si>
    <t>Ieejas mezgls pagrabā</t>
  </si>
  <si>
    <t>Ieejas pagrabā remonts</t>
  </si>
  <si>
    <t>Kājslauķis</t>
  </si>
  <si>
    <t>Pieguļošas teritorijas virsūdeņu novadīšana no pamatiem, asfalta iefrezēšana, pamatu aizsargapmales daļēja pārbūve.</t>
  </si>
  <si>
    <t>Atrakto pamatu sienu virsmu notīrīšana, šūvju aizdarīšana</t>
  </si>
  <si>
    <t>Asfalta frezēšana, apmales demontāža</t>
  </si>
  <si>
    <t>REM_2812</t>
  </si>
  <si>
    <t>Tāme sastādīta 2012.gada tirgus cenās, pamatojoties uz AR,BK daļas rasējumiem.</t>
  </si>
  <si>
    <t>Sienas virsmas tirīšana</t>
  </si>
  <si>
    <t>Cokola logu bedres remonts</t>
  </si>
  <si>
    <r>
      <t>m</t>
    </r>
    <r>
      <rPr>
        <vertAlign val="superscript"/>
        <sz val="11"/>
        <color indexed="8"/>
        <rFont val="Arial Narrow"/>
        <family val="2"/>
      </rPr>
      <t>2</t>
    </r>
  </si>
  <si>
    <t>ailsanas sporta zale</t>
  </si>
  <si>
    <t>1. vidusskolas galvena ēka un sporta zāles rekonstrukcija, Raiņa iela 49, Ilūkste</t>
  </si>
  <si>
    <t>Sienas virsmas apmetuma remonts, gruntēšana ( 30%)</t>
  </si>
  <si>
    <t>Logu ailsānu siltināšana b=30mm</t>
  </si>
  <si>
    <t xml:space="preserve">siltumizolācijas plātnes Paroc vai analogs b=30mm </t>
  </si>
  <si>
    <t xml:space="preserve">skrūves,dībelis (cokola profilam) </t>
  </si>
  <si>
    <t>Metāla evakuācijas kāpņu ar margu demontāža, tīrīšana, remonts, krāsošana un atpakaļ montāža</t>
  </si>
  <si>
    <t>koka dēļi, brusa</t>
  </si>
  <si>
    <t>vātes stiprinājuma elements</t>
  </si>
  <si>
    <t>Jumta apakšklāja ieklāšana ar ruloniem materiāliem Tehnoelast EPP lietojot uzkausēšanas tehnoloģiju un stiprinot ar dībeļiem, svars - 4.6kg/m2, biezums - 4.0mm</t>
  </si>
  <si>
    <t>Tehnoelast EPP ruļļveida materiāls  4.0mm                   vai ekvivalents</t>
  </si>
  <si>
    <t>propans</t>
  </si>
  <si>
    <t>bal</t>
  </si>
  <si>
    <t>Jumta virsklāja ieklāšana ar SBS modificētu uzkausējamu ruļļveida materiālu Tehnoelast EKP 5.0kg/m2, 4.2mm</t>
  </si>
  <si>
    <t>Tehnoelast EKP ruļļveida materiāls  4.2mm                  vai ekvivalents</t>
  </si>
  <si>
    <t>Jumta parapetu apdare no "Rannilla" skarda</t>
  </si>
  <si>
    <t>Aeratoru uzstādīšana</t>
  </si>
  <si>
    <t>siltumizolācijas stiprinājums, plastmasa enkuri ar siltumizolācijas uzlikam 25mm</t>
  </si>
  <si>
    <r>
      <t>Logu bloks</t>
    </r>
    <r>
      <rPr>
        <b/>
        <sz val="11"/>
        <color indexed="8"/>
        <rFont val="Arial Narrow"/>
        <family val="2"/>
      </rPr>
      <t xml:space="preserve"> L-12</t>
    </r>
    <r>
      <rPr>
        <sz val="11"/>
        <color indexed="8"/>
        <rFont val="Arial Narrow"/>
        <family val="2"/>
      </rPr>
      <t xml:space="preserve"> izmērs 1700x2800mm, 8gb.</t>
    </r>
  </si>
  <si>
    <t>galvena ēka</t>
  </si>
  <si>
    <r>
      <t xml:space="preserve">Tāme sastādīta : </t>
    </r>
    <r>
      <rPr>
        <u val="single"/>
        <sz val="11"/>
        <rFont val="Arial Narrow"/>
        <family val="2"/>
      </rPr>
      <t>2012.gada 19.oktobrī</t>
    </r>
  </si>
  <si>
    <t>Nomainīto koka konstrukciju ugunsaizsardzības krāsojums</t>
  </si>
  <si>
    <t>grunts Primer PG vai ekvivalents</t>
  </si>
  <si>
    <t>apmetuma java "Serpo" vai ekvivalents</t>
  </si>
  <si>
    <t xml:space="preserve">Cokola krāsošana </t>
  </si>
  <si>
    <t>grunts</t>
  </si>
  <si>
    <t>Cokola gludu virsmu apmešana ar dekoratīvo smalkgraudainu apmetumu (virs zemes)</t>
  </si>
  <si>
    <t>Galereja</t>
  </si>
  <si>
    <t>FASĀDE (neatiecināmas)</t>
  </si>
  <si>
    <t>Siltuma izolācijas ierīkošana</t>
  </si>
  <si>
    <t>Tvaika izolācijas ierīkošana</t>
  </si>
  <si>
    <t>Taisturveida lietus ūdens notecaurules 95x70mm ar stiprinājumiem montāža</t>
  </si>
  <si>
    <t>Kompleksi energoefektivitātes pasākumi Ilūkstes novada pašvaldības  ēkās, Raiņa iela 49, Ilūkste</t>
  </si>
  <si>
    <t>Raiņa iela 49, Ilūkste</t>
  </si>
  <si>
    <r>
      <t xml:space="preserve">Objekta nosaukums:   </t>
    </r>
    <r>
      <rPr>
        <u val="single"/>
        <sz val="12"/>
        <rFont val="Arial"/>
        <family val="2"/>
      </rPr>
      <t>Kompleksi energoefektivitātes pasākumi Ilūkstes novada pašvaldības  ēkās, Ilūkste</t>
    </r>
  </si>
  <si>
    <r>
      <t xml:space="preserve">Objekta nosaukums:  </t>
    </r>
    <r>
      <rPr>
        <u val="single"/>
        <sz val="11"/>
        <rFont val="Arial"/>
        <family val="2"/>
      </rPr>
      <t>1. vidusskolas galvena ēka un sporta zāles rekonstrukcija, Raiņa iela 49, Ilūkste</t>
    </r>
  </si>
  <si>
    <t>1. vidusskolas galvena ēka un sporta zāle, Raiņa iela 49, Ilūkste</t>
  </si>
  <si>
    <t>Cokola sienu virsmu notīrīšana, šūvju aizdarīšana</t>
  </si>
  <si>
    <t>Grunts</t>
  </si>
  <si>
    <t>Logu montāža. Sporta zālēs ēkā logu uzstādīt vienā līmenī ar ārsienām . Logi ir verami. Logu vēršanās furnitūra nodrošina logu vēršanu 4 stāvokļos, tai skaitā "ziemas vēdināšana". PVC konstrukcijas loga rāmis. Stikls - caurspīdīgs.
Selektīvā stikla pakešu logu bloki:
- Siltumcaurlaidības koeficients U rāmis &lt;1.1W/(m2K)
- Siltumcaurlaidības koeficients U stikls &lt;0.6W/(m2K)</t>
  </si>
  <si>
    <t> būvuzraudzība 0,5%</t>
  </si>
  <si>
    <t> būvprojekta autoruzraudzība 0,5%</t>
  </si>
  <si>
    <t>siltumizolācijas plāksnes EPS60 b=100 mm vai ekvivalents</t>
  </si>
  <si>
    <r>
      <t xml:space="preserve">Ārsienu siltināšana ar siltumizolāciju Neopor 100mm </t>
    </r>
    <r>
      <rPr>
        <sz val="11"/>
        <rFont val="Calibri"/>
        <family val="2"/>
      </rPr>
      <t>λ</t>
    </r>
    <r>
      <rPr>
        <sz val="11"/>
        <rFont val="Arial Narrow"/>
        <family val="2"/>
      </rPr>
      <t>=0.030W/mK, ar pusspundi  vai ekvivalents</t>
    </r>
  </si>
  <si>
    <t xml:space="preserve">ekstr. putupolistirola plātnes b=100mm </t>
  </si>
  <si>
    <t>Cokolu un pamatu vienots siltinājums, pielīmējot 100mm ekstr. ar pārfalci putupolistirola plāksnes</t>
  </si>
  <si>
    <t xml:space="preserve">                                                Peļņa (3% )</t>
  </si>
  <si>
    <t>Kopā bez PVN:</t>
  </si>
  <si>
    <t>Pieskaitāmie izdevumi ( 6% )</t>
  </si>
  <si>
    <t>Materiālu un būvgružu transporta izdevumi 3%</t>
  </si>
  <si>
    <t>VISPĀRCELTNIECISKIE DARBI</t>
  </si>
  <si>
    <t>Kieģielu sienas domontāza, ar demonejamā utilizēšanu</t>
  </si>
  <si>
    <t>Jauna latojuma ar soli 400mm ierīkošana</t>
  </si>
  <si>
    <t>koka latas 32x100mm</t>
  </si>
  <si>
    <t>OSB klāja ierīkošana 22mm</t>
  </si>
  <si>
    <r>
      <t xml:space="preserve">puscieto siltinājuma kārta b=170mm                                      </t>
    </r>
    <r>
      <rPr>
        <sz val="11"/>
        <rFont val="Calibri"/>
        <family val="2"/>
      </rPr>
      <t>λ</t>
    </r>
    <r>
      <rPr>
        <sz val="11"/>
        <rFont val="Arial Narrow"/>
        <family val="2"/>
      </rPr>
      <t>=0.038 W/mK   ROS 30</t>
    </r>
  </si>
  <si>
    <r>
      <t xml:space="preserve">cieto siltinājuma kārta b=30mm </t>
    </r>
    <r>
      <rPr>
        <sz val="11"/>
        <rFont val="Calibri"/>
        <family val="2"/>
      </rPr>
      <t>λ</t>
    </r>
    <r>
      <rPr>
        <sz val="11"/>
        <rFont val="Arial Narrow"/>
        <family val="2"/>
      </rPr>
      <t>=0.038 W/mK ROB 50</t>
    </r>
  </si>
  <si>
    <t xml:space="preserve">Jumta skarda seguma remonts </t>
  </si>
  <si>
    <t>Antikorozijas krāsa</t>
  </si>
  <si>
    <t>Jumta skārds</t>
  </si>
  <si>
    <t>Skursteņu apdare ar skārdu</t>
  </si>
  <si>
    <t>Sporta zāle</t>
  </si>
  <si>
    <t xml:space="preserve"> antiseptētas koka brusa</t>
  </si>
  <si>
    <t>Jumta virsgaismas logu demontāža, griestu apdare no ēkas iekspuses izbūve</t>
  </si>
  <si>
    <t>Lietusūdens notekcauruļu 100mm montāža ar stiprinājumiem</t>
  </si>
  <si>
    <t xml:space="preserve"> antiseptētas koka brusas</t>
  </si>
  <si>
    <r>
      <t xml:space="preserve">Logi </t>
    </r>
    <r>
      <rPr>
        <b/>
        <sz val="11"/>
        <color indexed="8"/>
        <rFont val="Arial Narrow"/>
        <family val="2"/>
      </rPr>
      <t xml:space="preserve">L-8 </t>
    </r>
    <r>
      <rPr>
        <sz val="11"/>
        <color indexed="8"/>
        <rFont val="Arial Narrow"/>
        <family val="2"/>
      </rPr>
      <t>izmērs 550x4,100mm, 6gb.</t>
    </r>
  </si>
  <si>
    <r>
      <t xml:space="preserve">Logi </t>
    </r>
    <r>
      <rPr>
        <b/>
        <sz val="11"/>
        <color indexed="8"/>
        <rFont val="Arial Narrow"/>
        <family val="2"/>
      </rPr>
      <t>L-9</t>
    </r>
    <r>
      <rPr>
        <sz val="11"/>
        <color indexed="8"/>
        <rFont val="Arial Narrow"/>
        <family val="2"/>
      </rPr>
      <t xml:space="preserve"> Izmērs  550x2400 6gab.</t>
    </r>
  </si>
  <si>
    <r>
      <t xml:space="preserve">Logi </t>
    </r>
    <r>
      <rPr>
        <b/>
        <sz val="11"/>
        <color indexed="8"/>
        <rFont val="Arial Narrow"/>
        <family val="2"/>
      </rPr>
      <t>L-13</t>
    </r>
    <r>
      <rPr>
        <sz val="11"/>
        <color indexed="8"/>
        <rFont val="Arial Narrow"/>
        <family val="2"/>
      </rPr>
      <t xml:space="preserve">  izmērs 1700x3420mm, 1gb. </t>
    </r>
  </si>
  <si>
    <r>
      <t>m</t>
    </r>
    <r>
      <rPr>
        <vertAlign val="superscript"/>
        <sz val="10"/>
        <rFont val="Arial"/>
        <family val="2"/>
      </rPr>
      <t>2</t>
    </r>
  </si>
  <si>
    <r>
      <t>Logi</t>
    </r>
    <r>
      <rPr>
        <b/>
        <sz val="11"/>
        <color indexed="8"/>
        <rFont val="Arial Narrow"/>
        <family val="2"/>
      </rPr>
      <t xml:space="preserve"> L-14</t>
    </r>
    <r>
      <rPr>
        <sz val="11"/>
        <color indexed="8"/>
        <rFont val="Arial Narrow"/>
        <family val="2"/>
      </rPr>
      <t xml:space="preserve"> izmērs 1700x3770mm, 1gb. </t>
    </r>
  </si>
  <si>
    <t>Ailsanu apdare no iekšpuses un ārpuses</t>
  </si>
  <si>
    <t>DURVIS</t>
  </si>
  <si>
    <t>Durvju bloku demontāža</t>
  </si>
  <si>
    <t>Durvju montāža</t>
  </si>
  <si>
    <r>
      <t xml:space="preserve">Divvērtņu ārdurvis </t>
    </r>
    <r>
      <rPr>
        <b/>
        <sz val="11"/>
        <color indexed="8"/>
        <rFont val="Arial Narrow"/>
        <family val="2"/>
      </rPr>
      <t>ĀD-1</t>
    </r>
    <r>
      <rPr>
        <sz val="11"/>
        <color indexed="8"/>
        <rFont val="Arial Narrow"/>
        <family val="2"/>
      </rPr>
      <t xml:space="preserve"> , koka rāmis, RAL 8014, iekšpusē balta. Paredzēt atvēršanās mehānismus - drošības aizslēgs ar rokturi atbilstoši standartam LVS EN 179. 
Siltumnoturīgs ārdurvju bloks ar dubulto pārfalci un divām blīvējuma gumijām perimetrā:
Siltumcaurlaidības koeficients U durvis &lt;0.8W/(m2K)</t>
    </r>
  </si>
  <si>
    <r>
      <t xml:space="preserve">Divvērtņu ārdurvis </t>
    </r>
    <r>
      <rPr>
        <b/>
        <sz val="11"/>
        <color indexed="8"/>
        <rFont val="Arial Narrow"/>
        <family val="2"/>
      </rPr>
      <t>ĀD-2</t>
    </r>
    <r>
      <rPr>
        <sz val="11"/>
        <color indexed="8"/>
        <rFont val="Arial Narrow"/>
        <family val="2"/>
      </rPr>
      <t xml:space="preserve"> , brūns koka rāmis, 1470x2470mm. Paredzēt atvēršanās mehānismus - drošības aizslēgs ar rokturi atbilstoši standartam LVS EN 179Siltumnoturīgs ārdurvju bloks ar dubulto pārfalci un divām blīvējuma gumijām perimetrā:
 Siltumcaurlaidības koeficients U durvis &lt;0.8W/(m2K)</t>
    </r>
  </si>
  <si>
    <r>
      <t>Vienvērtnes PVC ārdurvis</t>
    </r>
    <r>
      <rPr>
        <b/>
        <sz val="11"/>
        <color indexed="8"/>
        <rFont val="Arial Narrow"/>
        <family val="2"/>
      </rPr>
      <t xml:space="preserve"> ĀD-3</t>
    </r>
    <r>
      <rPr>
        <sz val="11"/>
        <color indexed="8"/>
        <rFont val="Arial Narrow"/>
        <family val="2"/>
      </rPr>
      <t xml:space="preserve"> 1400x2400mm.Paredzēt atvēršanās mehānismus - drošības aizslēgs ar rokturi atbilstoši standartam LVS EN 179
Siltumnoturīgs ārdurvju bloks ar dubulto pārfalci un divām blīvējuma gumijām perimetrā:
Siltumcaurlaidības koeficients U durvis &lt;0.8W/(m2K)</t>
    </r>
  </si>
  <si>
    <r>
      <t>Divvērtņu PVC ārdurvis</t>
    </r>
    <r>
      <rPr>
        <b/>
        <sz val="11"/>
        <color indexed="8"/>
        <rFont val="Arial Narrow"/>
        <family val="2"/>
      </rPr>
      <t xml:space="preserve"> ĀD-4</t>
    </r>
    <r>
      <rPr>
        <sz val="11"/>
        <color indexed="8"/>
        <rFont val="Arial Narrow"/>
        <family val="2"/>
      </rPr>
      <t xml:space="preserve"> 1790x2100mm.Paredzēt atvēršanās mehānismus - drošības aizslēgs ar rokturi atbilstoši standartam LVS EN 179
Siltumnoturīgs ārdurvju bloks ar dubulto pārfalci un divām blīvējuma gumijām perimetrā:
Siltumcaurlaidības koeficients U durvis &lt;0.8W/(m2K)</t>
    </r>
  </si>
  <si>
    <r>
      <t>Divvērtņu PVC ārdurvis</t>
    </r>
    <r>
      <rPr>
        <b/>
        <sz val="11"/>
        <color indexed="8"/>
        <rFont val="Arial Narrow"/>
        <family val="2"/>
      </rPr>
      <t xml:space="preserve"> ĀD-5</t>
    </r>
    <r>
      <rPr>
        <sz val="11"/>
        <color indexed="8"/>
        <rFont val="Arial Narrow"/>
        <family val="2"/>
      </rPr>
      <t xml:space="preserve"> 1485x2240mm.Paredzēt atvēršanās mehānismus - drošības aizslēgs ar rokturi atbilstoši standartam LVS EN 179
Siltumnoturīgs ārdurvju bloks ar dubulto pārfalci un divām blīvējuma gumijām perimetrā:
Siltumcaurlaidības koeficients U durvis &lt;0.8W/(m2K)</t>
    </r>
  </si>
  <si>
    <t>makroflex</t>
  </si>
  <si>
    <t xml:space="preserve"> Durvju ailu iekšējā apdare</t>
  </si>
  <si>
    <t>Bēniņu lūki/vēdināšanas logi</t>
  </si>
  <si>
    <t>Beniņu logs materiāls - koka rāmis, siltumcaurumcaurlaidības koeficients U bēniņu lūka &lt;0.8W/(m2K)</t>
  </si>
  <si>
    <r>
      <t xml:space="preserve">Koka vēdināšanas logs </t>
    </r>
    <r>
      <rPr>
        <b/>
        <sz val="11"/>
        <rFont val="Arial Narrow"/>
        <family val="2"/>
      </rPr>
      <t xml:space="preserve">BL-4 </t>
    </r>
    <r>
      <rPr>
        <sz val="11"/>
        <rFont val="Arial Narrow"/>
        <family val="2"/>
      </rPr>
      <t>- atvērams, krāsa ārpusē - RAL 9001, iekšpusē - 9001.
Logs ar divām vēršanas pozīcijam.
Apdare: "RHENOCOLL"
Grunts "POLISANDR"  -7 kārtas
Zilais "NUSBAUM"  -5 kārtas</t>
    </r>
  </si>
  <si>
    <t>Sienu apmešana ar sienas virsmas sagatavošanu</t>
  </si>
  <si>
    <r>
      <t>m</t>
    </r>
    <r>
      <rPr>
        <vertAlign val="superscript"/>
        <sz val="11"/>
        <rFont val="Arial Narrow"/>
        <family val="2"/>
      </rPr>
      <t>2</t>
    </r>
  </si>
  <si>
    <t>Sienu gruntēšana</t>
  </si>
  <si>
    <t>Sienu špaktelēšana</t>
  </si>
  <si>
    <t>Sienu krāsošana</t>
  </si>
  <si>
    <t>Griestu apmetuma izveide</t>
  </si>
  <si>
    <t>Griestu gruntēšana</t>
  </si>
  <si>
    <t>Griestu špaktelēšana</t>
  </si>
  <si>
    <t>Griestu  gruntēšana, krāsošana</t>
  </si>
  <si>
    <t>Lokāla tāme 4</t>
  </si>
  <si>
    <r>
      <t xml:space="preserve">Logi </t>
    </r>
    <r>
      <rPr>
        <b/>
        <sz val="11"/>
        <color indexed="8"/>
        <rFont val="Arial Narrow"/>
        <family val="2"/>
      </rPr>
      <t xml:space="preserve">L-2  </t>
    </r>
    <r>
      <rPr>
        <sz val="11"/>
        <color indexed="8"/>
        <rFont val="Arial Narrow"/>
        <family val="2"/>
      </rPr>
      <t>izmērs 1800x2300mm, 3gb  (koka logi)</t>
    </r>
  </si>
  <si>
    <r>
      <t xml:space="preserve">Logu bloki </t>
    </r>
    <r>
      <rPr>
        <b/>
        <sz val="11"/>
        <color indexed="8"/>
        <rFont val="Arial Narrow"/>
        <family val="2"/>
      </rPr>
      <t>L-4</t>
    </r>
    <r>
      <rPr>
        <sz val="11"/>
        <color indexed="8"/>
        <rFont val="Arial Narrow"/>
        <family val="2"/>
      </rPr>
      <t xml:space="preserve">  izmērs 1100x900mm, 1gb (koka logi).</t>
    </r>
  </si>
  <si>
    <r>
      <t>Logu bloks</t>
    </r>
    <r>
      <rPr>
        <b/>
        <sz val="11"/>
        <color indexed="8"/>
        <rFont val="Arial Narrow"/>
        <family val="2"/>
      </rPr>
      <t xml:space="preserve"> L-11</t>
    </r>
    <r>
      <rPr>
        <sz val="11"/>
        <color indexed="8"/>
        <rFont val="Arial Narrow"/>
        <family val="2"/>
      </rPr>
      <t xml:space="preserve"> izmērs 1700x1700mm, 46gb.</t>
    </r>
  </si>
  <si>
    <t>Griestu apmetuma izveide uz stiklašķiedras sieta</t>
  </si>
  <si>
    <t>Griestu apdare kāpņu telpām 1.;2.;3.;4.stāvā</t>
  </si>
  <si>
    <t>Sienu apdare kāpņu telpām 1.;2.;3.;4.stāvā</t>
  </si>
  <si>
    <t>Demontāža</t>
  </si>
  <si>
    <t>Starpsienu demontāža telpas paplašināšanai</t>
  </si>
  <si>
    <t xml:space="preserve">Durvju demontāža </t>
  </si>
  <si>
    <t>gb.</t>
  </si>
  <si>
    <t>Grīdas flīžu demontāža</t>
  </si>
  <si>
    <t>Sienas flīžu demontāža</t>
  </si>
  <si>
    <t>Citu remontam nepieciešamo elementu demontāža</t>
  </si>
  <si>
    <t>st.</t>
  </si>
  <si>
    <t>Būvgružu savākšana uz izvešana</t>
  </si>
  <si>
    <t>būvgružu konteinera noma (8m3)</t>
  </si>
  <si>
    <t>Starpsienas</t>
  </si>
  <si>
    <t>ALU WC starpsienu montāža ar durvīm</t>
  </si>
  <si>
    <t>Sienu apdare</t>
  </si>
  <si>
    <t xml:space="preserve">Sienu sagatavošana apdarei (attīrīšana no ešošās apdares, gruntēšana, špaktelēšana) </t>
  </si>
  <si>
    <t>apmetums-ģipša</t>
  </si>
  <si>
    <t>špaktele</t>
  </si>
  <si>
    <t>nobeiguma špaktele</t>
  </si>
  <si>
    <t>palīgmateriāli</t>
  </si>
  <si>
    <t>k-pl</t>
  </si>
  <si>
    <t>Sagatavotu sienu kvalitatīvs krāsojums (virs flīzēm)</t>
  </si>
  <si>
    <t>gruntskrāsa</t>
  </si>
  <si>
    <t>tonēta krāsa</t>
  </si>
  <si>
    <t xml:space="preserve">Sienu flīzēšana </t>
  </si>
  <si>
    <t xml:space="preserve"> flīžu līme </t>
  </si>
  <si>
    <t xml:space="preserve"> šuvju mastika </t>
  </si>
  <si>
    <t xml:space="preserve">sienas flīzes </t>
  </si>
  <si>
    <t>palīgmateriāli flīzēšanai</t>
  </si>
  <si>
    <t>Grīda</t>
  </si>
  <si>
    <t>Grīdas pamatnes izlīdzināšana pirms grīdas seguma  ierīkošanas(ievērot vienu grīdas līmeni visās telpās)</t>
  </si>
  <si>
    <t>grunts (betonam)</t>
  </si>
  <si>
    <t>pašizlīdzinošais sastāvs grīdām</t>
  </si>
  <si>
    <t xml:space="preserve">Grīdas flīžu ieklāšana </t>
  </si>
  <si>
    <t xml:space="preserve">grīdas flīzes (ar reljefu- neslīdošas) </t>
  </si>
  <si>
    <t xml:space="preserve">Griesti </t>
  </si>
  <si>
    <t>Iekārto griestu konstrukcijas montāža (ar karnīzi pie loga)</t>
  </si>
  <si>
    <t>iekārto griestu konstrukcija</t>
  </si>
  <si>
    <t>iekārto griestu plāksnes</t>
  </si>
  <si>
    <t>Jaunu, kvalitātīvu durvju bloku montāža (WC ieejas durvis no uzgaidāmās telpās)</t>
  </si>
  <si>
    <t xml:space="preserve">iekšējās durvis ar furnitūru </t>
  </si>
  <si>
    <t>stiprinājumu un palīgmateriāli</t>
  </si>
  <si>
    <t>EL</t>
  </si>
  <si>
    <t>Elektroinstalācijas pārbūve, tai skaitā gaismas ķermeņi, slēdži un rozetes</t>
  </si>
  <si>
    <t>AVK-ventilācija</t>
  </si>
  <si>
    <t>Ventilācijas sistēmas vienkāršots remonts</t>
  </si>
  <si>
    <t>UK un santehnika</t>
  </si>
  <si>
    <t>UK  (ūdens un kanalizācijas) pievadu nomaiņa</t>
  </si>
  <si>
    <t xml:space="preserve">Jaunas keramiskās izlietnes ar jaucējkrānu montāža </t>
  </si>
  <si>
    <t xml:space="preserve"> izlietne67x43 cm ar jaucējkrānu</t>
  </si>
  <si>
    <t>pieslēgumi un palīgmateriāli</t>
  </si>
  <si>
    <t>Jauna WC  poda ar vāku montāža</t>
  </si>
  <si>
    <t xml:space="preserve">WC pods ar vāku </t>
  </si>
  <si>
    <t>Citi remontdarbi</t>
  </si>
  <si>
    <t>Vājstrāvas tīklu demontāža uz remonta darbu laiku un atpakaļ montāža</t>
  </si>
  <si>
    <t>Lokāla tāme 5</t>
  </si>
  <si>
    <t>Pagrabstāva un 1.stāva WC telpu remonts</t>
  </si>
  <si>
    <t>Lokāla tāme 6</t>
  </si>
  <si>
    <t>Kāpņu telpu, koridoru, ēdamzāles remonts</t>
  </si>
  <si>
    <t>Sporta zāles remonts</t>
  </si>
  <si>
    <t>1. stāva vīriešu WC telpas</t>
  </si>
  <si>
    <t>2. stāva sieviešu WC telpas</t>
  </si>
  <si>
    <t>Pagrabstāva WC telpas</t>
  </si>
  <si>
    <t>Jaunu, kvalitātīvu durvju bloku montāža</t>
  </si>
  <si>
    <t xml:space="preserve">Jaunu, kvalitātīvu durvju bloku montāža </t>
  </si>
  <si>
    <t>KĀPŅU TELPU, KORIDORU, ĒDAMZĀLE REMONTS</t>
  </si>
  <si>
    <t>WC TELPU REMONTS</t>
  </si>
  <si>
    <t>SPORTA ZĀLES REMONTS</t>
  </si>
  <si>
    <t>Sagatavotu sienu kvalitatīvs krāsojums</t>
  </si>
  <si>
    <t>Ruļļveida grīdas seguma -linoleja ieklāšana, ar pamatnes sagatavošanu</t>
  </si>
  <si>
    <t>špaktele grīdai</t>
  </si>
  <si>
    <t>grunts (pirms linoleja ieklāšanas)</t>
  </si>
  <si>
    <t>līme linolejam (14kg)</t>
  </si>
  <si>
    <t>iep.</t>
  </si>
  <si>
    <t>linolejs</t>
  </si>
  <si>
    <t>palīgmateriāli linoleja ieklāšanai</t>
  </si>
  <si>
    <t>Grīdlīstes montāža</t>
  </si>
  <si>
    <t>apmetums-ģipša 25%</t>
  </si>
  <si>
    <t>Esošā griestu koka seguma krāsojuma atjaunošana</t>
  </si>
  <si>
    <t>Pinotex krāsa</t>
  </si>
  <si>
    <t>Jaunu, PVC durvju bloku montāža</t>
  </si>
  <si>
    <t xml:space="preserve">Citi </t>
  </si>
  <si>
    <t>Inventaro sastatņu noma</t>
  </si>
  <si>
    <t>m/m</t>
  </si>
  <si>
    <t>Tāme sastādīta :  2013.gada 9.septembrī</t>
  </si>
  <si>
    <t>Iekšējo koka durvju kāpņu telpās nomaiņa 3000x2600</t>
  </si>
  <si>
    <t>Iekšējo koka durvju kāpņu telpās nomaiņa 1470x2470</t>
  </si>
  <si>
    <t>Sienu apdare koridoriem 0; 1; 2; 3. stāvā un galerijai</t>
  </si>
  <si>
    <t>Galerija</t>
  </si>
  <si>
    <t>Vecā grīdas seguma demontāža</t>
  </si>
  <si>
    <t>Griestu apdare koridoriem 0; 1; 2; 3. stāvā un galerijai</t>
  </si>
  <si>
    <t>Ēdamzāle</t>
  </si>
  <si>
    <t>Iekārto griestu konstrukcijas montāža</t>
  </si>
  <si>
    <t>Durvju renovācija</t>
  </si>
  <si>
    <t>Ķeģeļu ārsienas daļejā demontāža ēkas hidroizolācijas uzlabošanai</t>
  </si>
  <si>
    <t>Sienu hidroizolacijas izbūve</t>
  </si>
  <si>
    <t>hidroizolacija Indrosilex Pronto vai analogs</t>
  </si>
  <si>
    <t>Esošā jumta seguma demontāža</t>
  </si>
  <si>
    <t>Esošā jumta latojuma demontāža</t>
  </si>
  <si>
    <t>Esošās jumta siltumizolācijas demontāža ~20cm biezumā</t>
  </si>
  <si>
    <t>20-5687</t>
  </si>
  <si>
    <t xml:space="preserve">                                             Uldis Bērziņš</t>
  </si>
  <si>
    <t xml:space="preserve"> Būvniecības koptāme</t>
  </si>
  <si>
    <t xml:space="preserve">Tāme sastādīta :  </t>
  </si>
  <si>
    <t>Tāme sastādīta :</t>
  </si>
  <si>
    <t>Tāme sastādīta 2013.gada tirgus cenās</t>
  </si>
  <si>
    <t xml:space="preserve">Tāme sastādīta : 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</si>
</sst>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Ls-426]"/>
    <numFmt numFmtId="181" formatCode="0.0"/>
    <numFmt numFmtId="182" formatCode="0.0000"/>
    <numFmt numFmtId="183" formatCode="0.000"/>
    <numFmt numFmtId="184" formatCode="mmm\ dd"/>
    <numFmt numFmtId="185" formatCode="#,##0.0"/>
    <numFmt numFmtId="186" formatCode="0.00000"/>
    <numFmt numFmtId="187" formatCode="_-&quot;Ls &quot;* #,##0.00_-;&quot;-Ls &quot;* #,##0.00_-;_-&quot;Ls &quot;* \-??_-;_-@_-"/>
    <numFmt numFmtId="188" formatCode="0.000000"/>
    <numFmt numFmtId="189" formatCode="0.0000000"/>
    <numFmt numFmtId="190" formatCode="_(* ###0.00_);_(* \(###0.00\);_(* \-??_);_(@_)"/>
    <numFmt numFmtId="191" formatCode="_-* #,##0.00_-;\-* #,##0.00_-;_-* \-??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\ #,##0.00;#,##0.00;\ &quot; &quot;??;@"/>
  </numFmts>
  <fonts count="86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i/>
      <u val="single"/>
      <sz val="14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1"/>
      <color indexed="8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 Narrow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color indexed="16"/>
      <name val="Swiss TL"/>
      <family val="2"/>
    </font>
    <font>
      <sz val="11"/>
      <name val="Calibri"/>
      <family val="2"/>
    </font>
    <font>
      <vertAlign val="superscript"/>
      <sz val="11"/>
      <color indexed="8"/>
      <name val="Arial Narrow"/>
      <family val="2"/>
    </font>
    <font>
      <i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0"/>
      <name val="Arial"/>
      <family val="2"/>
    </font>
    <font>
      <u val="single"/>
      <sz val="10"/>
      <name val="Arial Narrow"/>
      <family val="2"/>
    </font>
    <font>
      <vertAlign val="superscript"/>
      <sz val="11"/>
      <name val="Arial Narrow"/>
      <family val="2"/>
    </font>
    <font>
      <b/>
      <i/>
      <sz val="10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1" fillId="0" borderId="0" applyFill="0" applyBorder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48" applyFont="1" applyFill="1">
      <alignment/>
      <protection/>
    </xf>
    <xf numFmtId="0" fontId="3" fillId="0" borderId="0" xfId="0" applyFont="1" applyFill="1" applyAlignment="1">
      <alignment vertical="center"/>
    </xf>
    <xf numFmtId="0" fontId="5" fillId="0" borderId="0" xfId="74" applyFont="1" applyFill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left" vertical="center"/>
    </xf>
    <xf numFmtId="180" fontId="8" fillId="0" borderId="0" xfId="0" applyNumberFormat="1" applyFont="1" applyFill="1" applyAlignment="1">
      <alignment horizontal="center" vertical="center"/>
    </xf>
    <xf numFmtId="180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74" applyFont="1" applyFill="1" applyAlignment="1">
      <alignment horizontal="center" vertical="center"/>
      <protection/>
    </xf>
    <xf numFmtId="0" fontId="8" fillId="0" borderId="0" xfId="74" applyFont="1" applyFill="1" applyAlignment="1">
      <alignment vertical="center" wrapText="1"/>
      <protection/>
    </xf>
    <xf numFmtId="0" fontId="12" fillId="0" borderId="0" xfId="74" applyFont="1" applyFill="1" applyAlignment="1">
      <alignment horizontal="center" vertical="center" wrapText="1"/>
      <protection/>
    </xf>
    <xf numFmtId="0" fontId="8" fillId="0" borderId="0" xfId="74" applyFont="1" applyFill="1" applyAlignment="1">
      <alignment horizontal="right" vertical="center"/>
      <protection/>
    </xf>
    <xf numFmtId="0" fontId="8" fillId="0" borderId="0" xfId="74" applyFont="1" applyFill="1" applyAlignment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10" xfId="74" applyNumberFormat="1" applyFont="1" applyFill="1" applyBorder="1" applyAlignment="1">
      <alignment horizontal="right" vertical="center"/>
      <protection/>
    </xf>
    <xf numFmtId="4" fontId="8" fillId="0" borderId="21" xfId="74" applyNumberFormat="1" applyFont="1" applyFill="1" applyBorder="1" applyAlignment="1">
      <alignment horizontal="right" vertical="center"/>
      <protection/>
    </xf>
    <xf numFmtId="4" fontId="11" fillId="0" borderId="22" xfId="74" applyNumberFormat="1" applyFont="1" applyFill="1" applyBorder="1" applyAlignment="1">
      <alignment horizontal="right" vertical="center"/>
      <protection/>
    </xf>
    <xf numFmtId="4" fontId="11" fillId="0" borderId="23" xfId="74" applyNumberFormat="1" applyFont="1" applyFill="1" applyBorder="1" applyAlignment="1">
      <alignment horizontal="right" vertical="center"/>
      <protection/>
    </xf>
    <xf numFmtId="0" fontId="11" fillId="0" borderId="0" xfId="74" applyFont="1" applyFill="1" applyAlignment="1">
      <alignment vertical="center"/>
      <protection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>
      <alignment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/>
      <protection/>
    </xf>
    <xf numFmtId="0" fontId="8" fillId="0" borderId="0" xfId="48" applyFont="1" applyFill="1" applyBorder="1" applyAlignment="1">
      <alignment horizontal="left"/>
      <protection/>
    </xf>
    <xf numFmtId="0" fontId="3" fillId="0" borderId="0" xfId="48" applyFont="1" applyFill="1" applyAlignment="1">
      <alignment vertical="center"/>
      <protection/>
    </xf>
    <xf numFmtId="0" fontId="3" fillId="0" borderId="0" xfId="48" applyFont="1" applyFill="1" applyAlignment="1">
      <alignment horizontal="center" vertical="center"/>
      <protection/>
    </xf>
    <xf numFmtId="0" fontId="3" fillId="0" borderId="0" xfId="48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 applyProtection="1">
      <alignment horizontal="center" vertical="center"/>
      <protection/>
    </xf>
    <xf numFmtId="2" fontId="8" fillId="0" borderId="2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1" fillId="0" borderId="0" xfId="48">
      <alignment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67" applyFont="1">
      <alignment/>
      <protection/>
    </xf>
    <xf numFmtId="0" fontId="21" fillId="0" borderId="0" xfId="67" applyFont="1" applyBorder="1" applyAlignment="1">
      <alignment horizontal="left"/>
      <protection/>
    </xf>
    <xf numFmtId="0" fontId="0" fillId="0" borderId="0" xfId="48" applyFont="1">
      <alignment/>
      <protection/>
    </xf>
    <xf numFmtId="0" fontId="23" fillId="0" borderId="0" xfId="67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20" fillId="0" borderId="0" xfId="67" applyFont="1">
      <alignment/>
      <protection/>
    </xf>
    <xf numFmtId="0" fontId="20" fillId="0" borderId="0" xfId="67" applyFont="1" applyBorder="1" applyAlignment="1">
      <alignment horizontal="left" vertical="center"/>
      <protection/>
    </xf>
    <xf numFmtId="0" fontId="25" fillId="0" borderId="0" xfId="67" applyFont="1" applyBorder="1">
      <alignment/>
      <protection/>
    </xf>
    <xf numFmtId="0" fontId="25" fillId="0" borderId="0" xfId="67" applyFont="1" applyAlignment="1">
      <alignment horizontal="right"/>
      <protection/>
    </xf>
    <xf numFmtId="0" fontId="25" fillId="0" borderId="14" xfId="67" applyFont="1" applyBorder="1" applyAlignment="1">
      <alignment horizontal="center" vertical="top" wrapText="1"/>
      <protection/>
    </xf>
    <xf numFmtId="0" fontId="1" fillId="0" borderId="0" xfId="48" applyFill="1">
      <alignment/>
      <protection/>
    </xf>
    <xf numFmtId="49" fontId="25" fillId="0" borderId="14" xfId="67" applyNumberFormat="1" applyFont="1" applyBorder="1" applyAlignment="1">
      <alignment horizontal="center" vertical="center" wrapText="1"/>
      <protection/>
    </xf>
    <xf numFmtId="49" fontId="20" fillId="0" borderId="14" xfId="67" applyNumberFormat="1" applyFont="1" applyBorder="1" applyAlignment="1">
      <alignment horizontal="center" vertical="center"/>
      <protection/>
    </xf>
    <xf numFmtId="0" fontId="24" fillId="0" borderId="14" xfId="74" applyFont="1" applyBorder="1" applyAlignment="1">
      <alignment horizontal="left" vertical="center" wrapText="1"/>
      <protection/>
    </xf>
    <xf numFmtId="4" fontId="20" fillId="0" borderId="14" xfId="74" applyNumberFormat="1" applyFont="1" applyBorder="1" applyAlignment="1">
      <alignment horizontal="center" vertical="center" wrapText="1"/>
      <protection/>
    </xf>
    <xf numFmtId="0" fontId="25" fillId="0" borderId="14" xfId="67" applyFont="1" applyBorder="1" applyAlignment="1">
      <alignment horizontal="center" vertical="center"/>
      <protection/>
    </xf>
    <xf numFmtId="0" fontId="26" fillId="0" borderId="14" xfId="67" applyFont="1" applyBorder="1" applyAlignment="1">
      <alignment vertical="center"/>
      <protection/>
    </xf>
    <xf numFmtId="49" fontId="26" fillId="0" borderId="14" xfId="67" applyNumberFormat="1" applyFont="1" applyBorder="1" applyAlignment="1">
      <alignment horizontal="center" vertical="center"/>
      <protection/>
    </xf>
    <xf numFmtId="0" fontId="27" fillId="0" borderId="14" xfId="74" applyFont="1" applyBorder="1" applyAlignment="1">
      <alignment horizontal="right" vertical="center"/>
      <protection/>
    </xf>
    <xf numFmtId="4" fontId="26" fillId="0" borderId="14" xfId="74" applyNumberFormat="1" applyFont="1" applyBorder="1" applyAlignment="1">
      <alignment horizontal="center" vertical="center" wrapText="1"/>
      <protection/>
    </xf>
    <xf numFmtId="4" fontId="25" fillId="0" borderId="14" xfId="67" applyNumberFormat="1" applyFont="1" applyBorder="1" applyAlignment="1">
      <alignment horizontal="center" vertical="center"/>
      <protection/>
    </xf>
    <xf numFmtId="4" fontId="26" fillId="0" borderId="14" xfId="67" applyNumberFormat="1" applyFont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4" fontId="26" fillId="0" borderId="14" xfId="67" applyNumberFormat="1" applyFont="1" applyFill="1" applyBorder="1" applyAlignment="1">
      <alignment horizontal="center" vertical="center"/>
      <protection/>
    </xf>
    <xf numFmtId="0" fontId="1" fillId="0" borderId="0" xfId="67" applyFont="1" applyBorder="1" applyAlignment="1">
      <alignment vertical="center"/>
      <protection/>
    </xf>
    <xf numFmtId="0" fontId="1" fillId="0" borderId="0" xfId="67" applyFont="1" applyBorder="1">
      <alignment/>
      <protection/>
    </xf>
    <xf numFmtId="0" fontId="20" fillId="0" borderId="27" xfId="67" applyFont="1" applyBorder="1" applyAlignment="1">
      <alignment horizontal="center"/>
      <protection/>
    </xf>
    <xf numFmtId="0" fontId="20" fillId="0" borderId="0" xfId="67" applyFont="1" applyAlignment="1">
      <alignment horizontal="center"/>
      <protection/>
    </xf>
    <xf numFmtId="0" fontId="20" fillId="0" borderId="0" xfId="67" applyFont="1" applyBorder="1">
      <alignment/>
      <protection/>
    </xf>
    <xf numFmtId="0" fontId="19" fillId="0" borderId="0" xfId="67" applyFont="1" applyAlignment="1">
      <alignment horizontal="center" vertical="top"/>
      <protection/>
    </xf>
    <xf numFmtId="0" fontId="20" fillId="0" borderId="0" xfId="67" applyFont="1" applyAlignment="1">
      <alignment horizontal="center" vertical="top"/>
      <protection/>
    </xf>
    <xf numFmtId="0" fontId="20" fillId="0" borderId="0" xfId="67" applyFont="1" applyAlignment="1">
      <alignment horizontal="right"/>
      <protection/>
    </xf>
    <xf numFmtId="0" fontId="1" fillId="0" borderId="0" xfId="48" applyFont="1" applyFill="1">
      <alignment/>
      <protection/>
    </xf>
    <xf numFmtId="0" fontId="18" fillId="0" borderId="0" xfId="48" applyFont="1" applyFill="1" applyBorder="1" applyAlignment="1">
      <alignment/>
      <protection/>
    </xf>
    <xf numFmtId="0" fontId="18" fillId="0" borderId="0" xfId="48" applyFont="1" applyFill="1">
      <alignment/>
      <protection/>
    </xf>
    <xf numFmtId="4" fontId="30" fillId="0" borderId="0" xfId="48" applyNumberFormat="1" applyFont="1" applyFill="1" applyAlignment="1">
      <alignment horizontal="center"/>
      <protection/>
    </xf>
    <xf numFmtId="0" fontId="20" fillId="0" borderId="0" xfId="48" applyFont="1" applyFill="1" applyAlignment="1">
      <alignment/>
      <protection/>
    </xf>
    <xf numFmtId="0" fontId="20" fillId="0" borderId="0" xfId="48" applyFont="1" applyFill="1">
      <alignment/>
      <protection/>
    </xf>
    <xf numFmtId="2" fontId="30" fillId="0" borderId="0" xfId="48" applyNumberFormat="1" applyFont="1" applyFill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23" fillId="0" borderId="14" xfId="48" applyFont="1" applyFill="1" applyBorder="1" applyAlignment="1">
      <alignment horizontal="center" vertical="center" wrapText="1"/>
      <protection/>
    </xf>
    <xf numFmtId="0" fontId="20" fillId="0" borderId="14" xfId="48" applyFont="1" applyFill="1" applyBorder="1" applyAlignment="1">
      <alignment horizontal="center" vertical="center"/>
      <protection/>
    </xf>
    <xf numFmtId="2" fontId="20" fillId="0" borderId="14" xfId="48" applyNumberFormat="1" applyFont="1" applyFill="1" applyBorder="1" applyAlignment="1">
      <alignment horizontal="center" vertical="center" wrapText="1"/>
      <protection/>
    </xf>
    <xf numFmtId="0" fontId="20" fillId="0" borderId="0" xfId="48" applyFont="1" applyFill="1" applyAlignment="1">
      <alignment vertical="center" wrapText="1"/>
      <protection/>
    </xf>
    <xf numFmtId="0" fontId="20" fillId="0" borderId="14" xfId="48" applyFont="1" applyFill="1" applyBorder="1" applyAlignment="1">
      <alignment vertical="center" wrapText="1"/>
      <protection/>
    </xf>
    <xf numFmtId="0" fontId="1" fillId="0" borderId="14" xfId="48" applyFont="1" applyFill="1" applyBorder="1" applyAlignment="1">
      <alignment horizontal="center" vertical="center"/>
      <protection/>
    </xf>
    <xf numFmtId="0" fontId="1" fillId="0" borderId="14" xfId="48" applyFont="1" applyFill="1" applyBorder="1" applyAlignment="1">
      <alignment horizontal="left" vertical="center" wrapText="1"/>
      <protection/>
    </xf>
    <xf numFmtId="2" fontId="1" fillId="0" borderId="14" xfId="48" applyNumberFormat="1" applyFont="1" applyFill="1" applyBorder="1" applyAlignment="1">
      <alignment horizontal="center" vertical="center" wrapText="1"/>
      <protection/>
    </xf>
    <xf numFmtId="4" fontId="23" fillId="0" borderId="14" xfId="48" applyNumberFormat="1" applyFont="1" applyFill="1" applyBorder="1" applyAlignment="1">
      <alignment horizontal="center" vertical="center"/>
      <protection/>
    </xf>
    <xf numFmtId="4" fontId="20" fillId="0" borderId="12" xfId="48" applyNumberFormat="1" applyFont="1" applyFill="1" applyBorder="1" applyAlignment="1">
      <alignment horizontal="center" vertical="center" wrapText="1"/>
      <protection/>
    </xf>
    <xf numFmtId="4" fontId="20" fillId="0" borderId="0" xfId="48" applyNumberFormat="1" applyFont="1" applyFill="1" applyBorder="1" applyAlignment="1">
      <alignment horizontal="center" vertical="center" wrapText="1"/>
      <protection/>
    </xf>
    <xf numFmtId="0" fontId="1" fillId="0" borderId="0" xfId="48" applyFont="1" applyFill="1" applyAlignment="1">
      <alignment vertical="center" wrapText="1"/>
      <protection/>
    </xf>
    <xf numFmtId="4" fontId="20" fillId="0" borderId="10" xfId="48" applyNumberFormat="1" applyFont="1" applyFill="1" applyBorder="1" applyAlignment="1">
      <alignment horizontal="center" vertical="center" wrapText="1"/>
      <protection/>
    </xf>
    <xf numFmtId="4" fontId="23" fillId="0" borderId="0" xfId="48" applyNumberFormat="1" applyFont="1" applyFill="1" applyBorder="1" applyAlignment="1">
      <alignment vertical="center" wrapText="1"/>
      <protection/>
    </xf>
    <xf numFmtId="4" fontId="23" fillId="0" borderId="0" xfId="48" applyNumberFormat="1" applyFont="1" applyFill="1" applyBorder="1" applyAlignment="1">
      <alignment horizontal="center" vertical="center" wrapText="1"/>
      <protection/>
    </xf>
    <xf numFmtId="0" fontId="20" fillId="0" borderId="0" xfId="48" applyFont="1" applyFill="1" applyAlignment="1">
      <alignment vertic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2" fontId="8" fillId="0" borderId="14" xfId="48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2" fontId="8" fillId="0" borderId="10" xfId="7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wrapText="1"/>
    </xf>
    <xf numFmtId="2" fontId="8" fillId="0" borderId="14" xfId="7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3" fillId="0" borderId="1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1" fontId="0" fillId="32" borderId="0" xfId="0" applyNumberFormat="1" applyFill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20" fillId="0" borderId="14" xfId="74" applyFont="1" applyBorder="1" applyAlignment="1">
      <alignment horizontal="left" vertical="center" wrapText="1"/>
      <protection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4" xfId="62" applyFont="1" applyFill="1" applyBorder="1" applyAlignment="1">
      <alignment horizontal="right" vertical="center" wrapText="1"/>
      <protection/>
    </xf>
    <xf numFmtId="0" fontId="8" fillId="0" borderId="14" xfId="62" applyFont="1" applyFill="1" applyBorder="1" applyAlignment="1">
      <alignment horizontal="center" vertical="center"/>
      <protection/>
    </xf>
    <xf numFmtId="2" fontId="8" fillId="0" borderId="14" xfId="62" applyNumberFormat="1" applyFont="1" applyFill="1" applyBorder="1" applyAlignment="1">
      <alignment horizontal="center" vertical="center"/>
      <protection/>
    </xf>
    <xf numFmtId="2" fontId="15" fillId="0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14" xfId="62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horizontal="right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vertical="center"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right" vertical="center" wrapText="1"/>
      <protection/>
    </xf>
    <xf numFmtId="2" fontId="11" fillId="0" borderId="30" xfId="0" applyNumberFormat="1" applyFont="1" applyFill="1" applyBorder="1" applyAlignment="1" applyProtection="1">
      <alignment horizontal="center" vertical="center" wrapText="1"/>
      <protection/>
    </xf>
    <xf numFmtId="2" fontId="11" fillId="0" borderId="30" xfId="0" applyNumberFormat="1" applyFont="1" applyFill="1" applyBorder="1" applyAlignment="1" applyProtection="1">
      <alignment horizontal="center" vertical="center"/>
      <protection/>
    </xf>
    <xf numFmtId="2" fontId="8" fillId="0" borderId="30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33" xfId="74" applyNumberFormat="1" applyFont="1" applyFill="1" applyBorder="1" applyAlignment="1">
      <alignment horizontal="right" vertical="center"/>
      <protection/>
    </xf>
    <xf numFmtId="4" fontId="11" fillId="0" borderId="34" xfId="74" applyNumberFormat="1" applyFont="1" applyFill="1" applyBorder="1" applyAlignment="1">
      <alignment horizontal="right" vertical="center"/>
      <protection/>
    </xf>
    <xf numFmtId="0" fontId="8" fillId="0" borderId="0" xfId="48" applyFont="1" applyFill="1">
      <alignment/>
      <protection/>
    </xf>
    <xf numFmtId="0" fontId="8" fillId="0" borderId="0" xfId="48" applyFont="1" applyFill="1" applyAlignment="1">
      <alignment vertical="center" wrapText="1"/>
      <protection/>
    </xf>
    <xf numFmtId="0" fontId="8" fillId="0" borderId="0" xfId="48" applyFont="1" applyFill="1" applyAlignment="1">
      <alignment vertical="center"/>
      <protection/>
    </xf>
    <xf numFmtId="0" fontId="8" fillId="0" borderId="0" xfId="48" applyFont="1" applyFill="1" applyAlignment="1">
      <alignment horizontal="center" vertical="center"/>
      <protection/>
    </xf>
    <xf numFmtId="0" fontId="8" fillId="0" borderId="0" xfId="48" applyFont="1" applyFill="1" applyBorder="1" applyAlignment="1">
      <alignment vertical="center"/>
      <protection/>
    </xf>
    <xf numFmtId="0" fontId="8" fillId="0" borderId="14" xfId="70" applyFont="1" applyFill="1" applyBorder="1" applyAlignment="1" applyProtection="1">
      <alignment horizontal="center" vertical="center" wrapText="1"/>
      <protection/>
    </xf>
    <xf numFmtId="0" fontId="1" fillId="0" borderId="0" xfId="48" applyFont="1" applyFill="1" applyAlignment="1">
      <alignment vertical="center"/>
      <protection/>
    </xf>
    <xf numFmtId="0" fontId="1" fillId="0" borderId="0" xfId="48" applyAlignment="1">
      <alignment horizontal="left"/>
      <protection/>
    </xf>
    <xf numFmtId="0" fontId="0" fillId="0" borderId="0" xfId="48" applyFont="1" applyFill="1" applyBorder="1">
      <alignment/>
      <protection/>
    </xf>
    <xf numFmtId="0" fontId="23" fillId="0" borderId="14" xfId="48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48" applyFont="1" applyFill="1" applyBorder="1">
      <alignment/>
      <protection/>
    </xf>
    <xf numFmtId="0" fontId="15" fillId="0" borderId="13" xfId="0" applyFont="1" applyFill="1" applyBorder="1" applyAlignment="1">
      <alignment horizontal="center" vertical="center" wrapText="1"/>
    </xf>
    <xf numFmtId="2" fontId="3" fillId="0" borderId="0" xfId="48" applyNumberFormat="1" applyFont="1" applyFill="1">
      <alignment/>
      <protection/>
    </xf>
    <xf numFmtId="2" fontId="3" fillId="0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8" fillId="0" borderId="0" xfId="74" applyNumberFormat="1" applyFont="1" applyFill="1" applyAlignment="1">
      <alignment vertical="center"/>
      <protection/>
    </xf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2" fontId="3" fillId="0" borderId="0" xfId="48" applyNumberFormat="1" applyFont="1" applyFill="1" applyAlignment="1">
      <alignment vertical="center"/>
      <protection/>
    </xf>
    <xf numFmtId="0" fontId="15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3" borderId="0" xfId="0" applyFill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2" fontId="20" fillId="0" borderId="0" xfId="48" applyNumberFormat="1" applyFont="1" applyFill="1" applyAlignment="1">
      <alignment vertical="center" wrapText="1"/>
      <protection/>
    </xf>
    <xf numFmtId="2" fontId="1" fillId="0" borderId="0" xfId="48" applyNumberFormat="1" applyFont="1" applyFill="1">
      <alignment/>
      <protection/>
    </xf>
    <xf numFmtId="49" fontId="25" fillId="0" borderId="35" xfId="67" applyNumberFormat="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20" fillId="0" borderId="35" xfId="74" applyFont="1" applyBorder="1" applyAlignment="1">
      <alignment horizontal="left" vertical="center" wrapText="1"/>
      <protection/>
    </xf>
    <xf numFmtId="4" fontId="20" fillId="0" borderId="35" xfId="74" applyNumberFormat="1" applyFont="1" applyBorder="1" applyAlignment="1">
      <alignment horizontal="center" vertical="center" wrapText="1"/>
      <protection/>
    </xf>
    <xf numFmtId="1" fontId="8" fillId="0" borderId="14" xfId="69" applyNumberFormat="1" applyFont="1" applyFill="1" applyBorder="1" applyAlignment="1" applyProtection="1">
      <alignment vertical="center" wrapText="1"/>
      <protection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0" fontId="20" fillId="0" borderId="0" xfId="48" applyNumberFormat="1" applyFont="1" applyFill="1">
      <alignment/>
      <protection/>
    </xf>
    <xf numFmtId="10" fontId="20" fillId="0" borderId="0" xfId="48" applyNumberFormat="1" applyFont="1" applyFill="1" applyAlignment="1">
      <alignment vertical="center" wrapText="1"/>
      <protection/>
    </xf>
    <xf numFmtId="10" fontId="1" fillId="0" borderId="0" xfId="48" applyNumberFormat="1" applyFont="1" applyFill="1" applyAlignment="1">
      <alignment vertical="center" wrapText="1"/>
      <protection/>
    </xf>
    <xf numFmtId="10" fontId="20" fillId="0" borderId="0" xfId="48" applyNumberFormat="1" applyFont="1" applyFill="1" applyAlignment="1">
      <alignment vertical="center"/>
      <protection/>
    </xf>
    <xf numFmtId="0" fontId="15" fillId="0" borderId="13" xfId="0" applyFont="1" applyFill="1" applyBorder="1" applyAlignment="1">
      <alignment horizontal="right" vertical="center" wrapText="1"/>
    </xf>
    <xf numFmtId="0" fontId="0" fillId="32" borderId="14" xfId="0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1" fillId="33" borderId="0" xfId="48" applyFont="1" applyFill="1">
      <alignment/>
      <protection/>
    </xf>
    <xf numFmtId="181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10" xfId="74" applyNumberFormat="1" applyFont="1" applyFill="1" applyBorder="1" applyAlignment="1">
      <alignment horizontal="center" vertical="center"/>
      <protection/>
    </xf>
    <xf numFmtId="4" fontId="8" fillId="0" borderId="21" xfId="74" applyNumberFormat="1" applyFont="1" applyFill="1" applyBorder="1" applyAlignment="1">
      <alignment horizontal="center" vertical="center"/>
      <protection/>
    </xf>
    <xf numFmtId="4" fontId="23" fillId="0" borderId="37" xfId="48" applyNumberFormat="1" applyFont="1" applyFill="1" applyBorder="1" applyAlignment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14" xfId="74" applyNumberFormat="1" applyFont="1" applyFill="1" applyBorder="1" applyAlignment="1">
      <alignment horizontal="center" vertical="center"/>
      <protection/>
    </xf>
    <xf numFmtId="4" fontId="8" fillId="0" borderId="38" xfId="74" applyNumberFormat="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right" vertical="center"/>
    </xf>
    <xf numFmtId="2" fontId="8" fillId="0" borderId="42" xfId="0" applyNumberFormat="1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 horizontal="center"/>
    </xf>
    <xf numFmtId="190" fontId="8" fillId="0" borderId="10" xfId="42" applyNumberFormat="1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91" fontId="8" fillId="0" borderId="10" xfId="42" applyNumberFormat="1" applyFont="1" applyFill="1" applyBorder="1" applyAlignment="1" applyProtection="1">
      <alignment horizontal="right" vertical="center"/>
      <protection/>
    </xf>
    <xf numFmtId="1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191" fontId="8" fillId="0" borderId="15" xfId="42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191" fontId="8" fillId="0" borderId="12" xfId="42" applyNumberFormat="1" applyFont="1" applyFill="1" applyBorder="1" applyAlignment="1" applyProtection="1">
      <alignment horizontal="right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righ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18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 applyProtection="1">
      <alignment horizontal="center" vertical="center"/>
      <protection/>
    </xf>
    <xf numFmtId="4" fontId="11" fillId="0" borderId="22" xfId="74" applyNumberFormat="1" applyFont="1" applyFill="1" applyBorder="1" applyAlignment="1">
      <alignment horizontal="center" vertical="center"/>
      <protection/>
    </xf>
    <xf numFmtId="4" fontId="11" fillId="0" borderId="23" xfId="7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4" xfId="66" applyNumberFormat="1" applyFont="1" applyBorder="1" applyAlignment="1">
      <alignment horizontal="center" vertical="center"/>
      <protection/>
    </xf>
    <xf numFmtId="0" fontId="49" fillId="0" borderId="14" xfId="63" applyFont="1" applyFill="1" applyBorder="1" applyAlignment="1">
      <alignment horizontal="center" vertical="center"/>
      <protection/>
    </xf>
    <xf numFmtId="0" fontId="50" fillId="0" borderId="14" xfId="66" applyFont="1" applyFill="1" applyBorder="1" applyAlignment="1">
      <alignment horizontal="center" vertical="center" wrapText="1"/>
      <protection/>
    </xf>
    <xf numFmtId="4" fontId="49" fillId="0" borderId="14" xfId="65" applyNumberFormat="1" applyFont="1" applyFill="1" applyBorder="1" applyAlignment="1">
      <alignment horizontal="center" vertical="center"/>
      <protection/>
    </xf>
    <xf numFmtId="2" fontId="49" fillId="0" borderId="14" xfId="44" applyNumberFormat="1" applyFont="1" applyFill="1" applyBorder="1" applyAlignment="1" applyProtection="1">
      <alignment horizontal="center" vertical="center"/>
      <protection/>
    </xf>
    <xf numFmtId="2" fontId="51" fillId="0" borderId="14" xfId="63" applyNumberFormat="1" applyFont="1" applyBorder="1" applyAlignment="1">
      <alignment horizontal="center" vertical="center" wrapText="1"/>
      <protection/>
    </xf>
    <xf numFmtId="4" fontId="51" fillId="0" borderId="14" xfId="65" applyNumberFormat="1" applyFont="1" applyFill="1" applyBorder="1" applyAlignment="1">
      <alignment horizontal="center" vertical="center"/>
      <protection/>
    </xf>
    <xf numFmtId="4" fontId="51" fillId="0" borderId="14" xfId="64" applyNumberFormat="1" applyFont="1" applyFill="1" applyBorder="1" applyAlignment="1">
      <alignment horizontal="center" vertical="center"/>
      <protection/>
    </xf>
    <xf numFmtId="0" fontId="51" fillId="0" borderId="14" xfId="66" applyFont="1" applyBorder="1" applyAlignment="1">
      <alignment horizontal="center" vertical="center"/>
      <protection/>
    </xf>
    <xf numFmtId="196" fontId="51" fillId="0" borderId="14" xfId="63" applyNumberFormat="1" applyFont="1" applyBorder="1" applyAlignment="1">
      <alignment horizontal="center" vertical="center"/>
      <protection/>
    </xf>
    <xf numFmtId="0" fontId="51" fillId="0" borderId="14" xfId="66" applyNumberFormat="1" applyFont="1" applyBorder="1" applyAlignment="1">
      <alignment horizontal="center" vertical="center"/>
      <protection/>
    </xf>
    <xf numFmtId="0" fontId="51" fillId="0" borderId="14" xfId="74" applyFont="1" applyFill="1" applyBorder="1" applyAlignment="1">
      <alignment horizontal="center" vertical="center"/>
      <protection/>
    </xf>
    <xf numFmtId="0" fontId="51" fillId="35" borderId="14" xfId="0" applyFont="1" applyFill="1" applyBorder="1" applyAlignment="1">
      <alignment vertical="center" wrapText="1"/>
    </xf>
    <xf numFmtId="0" fontId="51" fillId="35" borderId="14" xfId="0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2" fontId="51" fillId="35" borderId="14" xfId="0" applyNumberFormat="1" applyFont="1" applyFill="1" applyBorder="1" applyAlignment="1">
      <alignment horizontal="center" vertical="center"/>
    </xf>
    <xf numFmtId="196" fontId="51" fillId="35" borderId="14" xfId="63" applyNumberFormat="1" applyFont="1" applyFill="1" applyBorder="1" applyAlignment="1">
      <alignment horizontal="center" vertical="center"/>
      <protection/>
    </xf>
    <xf numFmtId="2" fontId="51" fillId="0" borderId="14" xfId="66" applyNumberFormat="1" applyFont="1" applyBorder="1" applyAlignment="1">
      <alignment horizontal="center" vertical="center"/>
      <protection/>
    </xf>
    <xf numFmtId="2" fontId="51" fillId="0" borderId="14" xfId="44" applyNumberFormat="1" applyFont="1" applyFill="1" applyBorder="1" applyAlignment="1" applyProtection="1">
      <alignment horizontal="center" vertical="center"/>
      <protection/>
    </xf>
    <xf numFmtId="0" fontId="51" fillId="0" borderId="14" xfId="63" applyFont="1" applyFill="1" applyBorder="1" applyAlignment="1">
      <alignment horizontal="center" vertical="center" wrapText="1"/>
      <protection/>
    </xf>
    <xf numFmtId="0" fontId="51" fillId="0" borderId="14" xfId="74" applyFont="1" applyFill="1" applyBorder="1" applyAlignment="1">
      <alignment horizontal="left" vertical="center" wrapText="1"/>
      <protection/>
    </xf>
    <xf numFmtId="2" fontId="51" fillId="0" borderId="14" xfId="74" applyNumberFormat="1" applyFont="1" applyFill="1" applyBorder="1" applyAlignment="1">
      <alignment horizontal="center" vertical="center"/>
      <protection/>
    </xf>
    <xf numFmtId="0" fontId="51" fillId="0" borderId="14" xfId="63" applyFont="1" applyFill="1" applyBorder="1" applyAlignment="1">
      <alignment horizontal="center" vertical="center"/>
      <protection/>
    </xf>
    <xf numFmtId="0" fontId="51" fillId="0" borderId="14" xfId="66" applyFont="1" applyFill="1" applyBorder="1" applyAlignment="1">
      <alignment horizontal="right" vertical="center" wrapText="1"/>
      <protection/>
    </xf>
    <xf numFmtId="181" fontId="51" fillId="0" borderId="14" xfId="44" applyNumberFormat="1" applyFont="1" applyFill="1" applyBorder="1" applyAlignment="1" applyProtection="1">
      <alignment horizontal="center" vertical="center"/>
      <protection/>
    </xf>
    <xf numFmtId="2" fontId="51" fillId="35" borderId="14" xfId="63" applyNumberFormat="1" applyFont="1" applyFill="1" applyBorder="1" applyAlignment="1">
      <alignment horizontal="center" vertical="center" wrapText="1"/>
      <protection/>
    </xf>
    <xf numFmtId="4" fontId="51" fillId="35" borderId="14" xfId="64" applyNumberFormat="1" applyFont="1" applyFill="1" applyBorder="1" applyAlignment="1">
      <alignment horizontal="center" vertical="center"/>
      <protection/>
    </xf>
    <xf numFmtId="4" fontId="51" fillId="35" borderId="14" xfId="65" applyNumberFormat="1" applyFont="1" applyFill="1" applyBorder="1" applyAlignment="1">
      <alignment horizontal="center" vertical="center"/>
      <protection/>
    </xf>
    <xf numFmtId="0" fontId="51" fillId="35" borderId="14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right" vertical="center" wrapText="1"/>
    </xf>
    <xf numFmtId="3" fontId="51" fillId="0" borderId="14" xfId="64" applyNumberFormat="1" applyFont="1" applyFill="1" applyBorder="1" applyAlignment="1">
      <alignment horizontal="center" vertical="center"/>
      <protection/>
    </xf>
    <xf numFmtId="185" fontId="51" fillId="0" borderId="14" xfId="64" applyNumberFormat="1" applyFont="1" applyFill="1" applyBorder="1" applyAlignment="1">
      <alignment horizontal="center" vertical="center"/>
      <protection/>
    </xf>
    <xf numFmtId="0" fontId="50" fillId="35" borderId="14" xfId="0" applyFont="1" applyFill="1" applyBorder="1" applyAlignment="1">
      <alignment horizontal="center" vertical="center" wrapText="1"/>
    </xf>
    <xf numFmtId="0" fontId="52" fillId="0" borderId="14" xfId="63" applyFont="1" applyBorder="1">
      <alignment/>
      <protection/>
    </xf>
    <xf numFmtId="0" fontId="51" fillId="0" borderId="14" xfId="74" applyFont="1" applyFill="1" applyBorder="1" applyAlignment="1">
      <alignment vertical="center" wrapText="1"/>
      <protection/>
    </xf>
    <xf numFmtId="1" fontId="51" fillId="0" borderId="14" xfId="74" applyNumberFormat="1" applyFont="1" applyFill="1" applyBorder="1" applyAlignment="1">
      <alignment horizontal="center" vertical="center"/>
      <protection/>
    </xf>
    <xf numFmtId="1" fontId="51" fillId="0" borderId="14" xfId="44" applyNumberFormat="1" applyFont="1" applyFill="1" applyBorder="1" applyAlignment="1" applyProtection="1">
      <alignment horizontal="center" vertical="center"/>
      <protection/>
    </xf>
    <xf numFmtId="0" fontId="51" fillId="0" borderId="14" xfId="66" applyFont="1" applyFill="1" applyBorder="1" applyAlignment="1">
      <alignment horizontal="left" vertical="center" wrapText="1"/>
      <protection/>
    </xf>
    <xf numFmtId="0" fontId="51" fillId="35" borderId="14" xfId="66" applyNumberFormat="1" applyFont="1" applyFill="1" applyBorder="1" applyAlignment="1">
      <alignment horizontal="center" vertical="center"/>
      <protection/>
    </xf>
    <xf numFmtId="0" fontId="51" fillId="35" borderId="14" xfId="63" applyFont="1" applyFill="1" applyBorder="1" applyAlignment="1">
      <alignment horizontal="center" vertical="center"/>
      <protection/>
    </xf>
    <xf numFmtId="0" fontId="51" fillId="35" borderId="14" xfId="66" applyFont="1" applyFill="1" applyBorder="1" applyAlignment="1">
      <alignment horizontal="right" vertical="center" wrapText="1"/>
      <protection/>
    </xf>
    <xf numFmtId="1" fontId="51" fillId="35" borderId="14" xfId="44" applyNumberFormat="1" applyFont="1" applyFill="1" applyBorder="1" applyAlignment="1" applyProtection="1">
      <alignment horizontal="center" vertical="center"/>
      <protection/>
    </xf>
    <xf numFmtId="0" fontId="51" fillId="0" borderId="35" xfId="66" applyNumberFormat="1" applyFont="1" applyBorder="1" applyAlignment="1">
      <alignment horizontal="center" vertical="center"/>
      <protection/>
    </xf>
    <xf numFmtId="0" fontId="51" fillId="0" borderId="44" xfId="63" applyFont="1" applyFill="1" applyBorder="1" applyAlignment="1">
      <alignment horizontal="center" vertical="center"/>
      <protection/>
    </xf>
    <xf numFmtId="0" fontId="50" fillId="35" borderId="35" xfId="0" applyFont="1" applyFill="1" applyBorder="1" applyAlignment="1">
      <alignment horizontal="center" vertical="center" wrapText="1"/>
    </xf>
    <xf numFmtId="4" fontId="51" fillId="0" borderId="35" xfId="65" applyNumberFormat="1" applyFont="1" applyFill="1" applyBorder="1" applyAlignment="1">
      <alignment horizontal="center" vertical="center"/>
      <protection/>
    </xf>
    <xf numFmtId="1" fontId="51" fillId="0" borderId="35" xfId="44" applyNumberFormat="1" applyFont="1" applyFill="1" applyBorder="1" applyAlignment="1" applyProtection="1">
      <alignment horizontal="center" vertical="center"/>
      <protection/>
    </xf>
    <xf numFmtId="2" fontId="51" fillId="0" borderId="35" xfId="63" applyNumberFormat="1" applyFont="1" applyBorder="1" applyAlignment="1">
      <alignment horizontal="center" vertical="center" wrapText="1"/>
      <protection/>
    </xf>
    <xf numFmtId="2" fontId="51" fillId="35" borderId="35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191" fontId="8" fillId="0" borderId="14" xfId="42" applyNumberFormat="1" applyFont="1" applyFill="1" applyBorder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0" fontId="52" fillId="0" borderId="14" xfId="66" applyNumberFormat="1" applyFont="1" applyBorder="1" applyAlignment="1">
      <alignment horizontal="center" vertical="center"/>
      <protection/>
    </xf>
    <xf numFmtId="0" fontId="52" fillId="0" borderId="14" xfId="63" applyFont="1" applyFill="1" applyBorder="1" applyAlignment="1">
      <alignment horizontal="center" vertical="center"/>
      <protection/>
    </xf>
    <xf numFmtId="0" fontId="13" fillId="35" borderId="14" xfId="0" applyFont="1" applyFill="1" applyBorder="1" applyAlignment="1">
      <alignment horizontal="center" vertical="center" wrapText="1"/>
    </xf>
    <xf numFmtId="4" fontId="52" fillId="0" borderId="14" xfId="65" applyNumberFormat="1" applyFont="1" applyFill="1" applyBorder="1" applyAlignment="1">
      <alignment horizontal="center" vertical="center"/>
      <protection/>
    </xf>
    <xf numFmtId="2" fontId="52" fillId="0" borderId="14" xfId="44" applyNumberFormat="1" applyFont="1" applyFill="1" applyBorder="1" applyAlignment="1" applyProtection="1">
      <alignment horizontal="center" vertical="center"/>
      <protection/>
    </xf>
    <xf numFmtId="2" fontId="52" fillId="0" borderId="14" xfId="63" applyNumberFormat="1" applyFont="1" applyBorder="1" applyAlignment="1">
      <alignment horizontal="center" vertical="center" wrapText="1"/>
      <protection/>
    </xf>
    <xf numFmtId="2" fontId="52" fillId="35" borderId="14" xfId="0" applyNumberFormat="1" applyFont="1" applyFill="1" applyBorder="1" applyAlignment="1">
      <alignment horizontal="center" vertical="center"/>
    </xf>
    <xf numFmtId="4" fontId="52" fillId="0" borderId="14" xfId="64" applyNumberFormat="1" applyFont="1" applyFill="1" applyBorder="1" applyAlignment="1">
      <alignment horizontal="center" vertical="center"/>
      <protection/>
    </xf>
    <xf numFmtId="0" fontId="52" fillId="0" borderId="14" xfId="66" applyFont="1" applyBorder="1" applyAlignment="1">
      <alignment horizontal="center" vertical="center"/>
      <protection/>
    </xf>
    <xf numFmtId="196" fontId="52" fillId="0" borderId="14" xfId="63" applyNumberFormat="1" applyFont="1" applyBorder="1" applyAlignment="1">
      <alignment horizontal="center" vertical="center"/>
      <protection/>
    </xf>
    <xf numFmtId="196" fontId="52" fillId="35" borderId="14" xfId="63" applyNumberFormat="1" applyFont="1" applyFill="1" applyBorder="1" applyAlignment="1">
      <alignment horizontal="center" vertical="center"/>
      <protection/>
    </xf>
    <xf numFmtId="0" fontId="52" fillId="0" borderId="14" xfId="74" applyFont="1" applyFill="1" applyBorder="1" applyAlignment="1">
      <alignment vertical="center" wrapText="1"/>
      <protection/>
    </xf>
    <xf numFmtId="0" fontId="52" fillId="0" borderId="14" xfId="74" applyFont="1" applyFill="1" applyBorder="1" applyAlignment="1">
      <alignment horizontal="center" vertical="center"/>
      <protection/>
    </xf>
    <xf numFmtId="2" fontId="52" fillId="0" borderId="14" xfId="74" applyNumberFormat="1" applyFont="1" applyFill="1" applyBorder="1" applyAlignment="1">
      <alignment horizontal="center" vertical="center"/>
      <protection/>
    </xf>
    <xf numFmtId="0" fontId="52" fillId="35" borderId="14" xfId="0" applyFont="1" applyFill="1" applyBorder="1" applyAlignment="1">
      <alignment horizontal="right" vertical="center" wrapText="1"/>
    </xf>
    <xf numFmtId="1" fontId="52" fillId="0" borderId="14" xfId="74" applyNumberFormat="1" applyFont="1" applyFill="1" applyBorder="1" applyAlignment="1">
      <alignment horizontal="center" vertical="center"/>
      <protection/>
    </xf>
    <xf numFmtId="0" fontId="52" fillId="0" borderId="14" xfId="63" applyFont="1" applyFill="1" applyBorder="1" applyAlignment="1">
      <alignment horizontal="center" vertical="center" wrapText="1"/>
      <protection/>
    </xf>
    <xf numFmtId="0" fontId="52" fillId="35" borderId="14" xfId="0" applyFont="1" applyFill="1" applyBorder="1" applyAlignment="1">
      <alignment vertical="center" wrapText="1"/>
    </xf>
    <xf numFmtId="0" fontId="52" fillId="0" borderId="14" xfId="66" applyFont="1" applyFill="1" applyBorder="1" applyAlignment="1">
      <alignment horizontal="right" vertical="center" wrapText="1"/>
      <protection/>
    </xf>
    <xf numFmtId="3" fontId="52" fillId="0" borderId="14" xfId="64" applyNumberFormat="1" applyFont="1" applyFill="1" applyBorder="1" applyAlignment="1">
      <alignment horizontal="center" vertical="center"/>
      <protection/>
    </xf>
    <xf numFmtId="0" fontId="52" fillId="0" borderId="14" xfId="66" applyFont="1" applyFill="1" applyBorder="1" applyAlignment="1">
      <alignment horizontal="left" vertical="center" wrapText="1"/>
      <protection/>
    </xf>
    <xf numFmtId="2" fontId="3" fillId="0" borderId="12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1" fontId="3" fillId="0" borderId="14" xfId="42" applyNumberFormat="1" applyFont="1" applyFill="1" applyBorder="1" applyAlignment="1" applyProtection="1">
      <alignment horizontal="right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2" fontId="52" fillId="0" borderId="14" xfId="66" applyNumberFormat="1" applyFont="1" applyBorder="1" applyAlignment="1">
      <alignment horizontal="center" vertical="center"/>
      <protection/>
    </xf>
    <xf numFmtId="0" fontId="13" fillId="0" borderId="14" xfId="66" applyFont="1" applyFill="1" applyBorder="1" applyAlignment="1">
      <alignment horizontal="center" vertical="center" wrapText="1"/>
      <protection/>
    </xf>
    <xf numFmtId="4" fontId="53" fillId="0" borderId="14" xfId="65" applyNumberFormat="1" applyFont="1" applyFill="1" applyBorder="1" applyAlignment="1">
      <alignment horizontal="center" vertical="center"/>
      <protection/>
    </xf>
    <xf numFmtId="2" fontId="53" fillId="0" borderId="14" xfId="44" applyNumberFormat="1" applyFont="1" applyFill="1" applyBorder="1" applyAlignment="1" applyProtection="1">
      <alignment horizontal="center" vertical="center"/>
      <protection/>
    </xf>
    <xf numFmtId="0" fontId="52" fillId="0" borderId="14" xfId="74" applyFont="1" applyFill="1" applyBorder="1" applyAlignment="1">
      <alignment horizontal="left" vertical="center" wrapText="1"/>
      <protection/>
    </xf>
    <xf numFmtId="181" fontId="52" fillId="0" borderId="14" xfId="44" applyNumberFormat="1" applyFont="1" applyFill="1" applyBorder="1" applyAlignment="1" applyProtection="1">
      <alignment horizontal="center" vertical="center"/>
      <protection/>
    </xf>
    <xf numFmtId="2" fontId="52" fillId="35" borderId="14" xfId="63" applyNumberFormat="1" applyFont="1" applyFill="1" applyBorder="1" applyAlignment="1">
      <alignment horizontal="center" vertical="center" wrapText="1"/>
      <protection/>
    </xf>
    <xf numFmtId="4" fontId="52" fillId="35" borderId="14" xfId="64" applyNumberFormat="1" applyFont="1" applyFill="1" applyBorder="1" applyAlignment="1">
      <alignment horizontal="center" vertical="center"/>
      <protection/>
    </xf>
    <xf numFmtId="4" fontId="52" fillId="35" borderId="14" xfId="65" applyNumberFormat="1" applyFont="1" applyFill="1" applyBorder="1" applyAlignment="1">
      <alignment horizontal="center" vertical="center"/>
      <protection/>
    </xf>
    <xf numFmtId="0" fontId="52" fillId="35" borderId="14" xfId="0" applyFont="1" applyFill="1" applyBorder="1" applyAlignment="1">
      <alignment horizontal="left" vertical="center" wrapText="1"/>
    </xf>
    <xf numFmtId="185" fontId="52" fillId="0" borderId="14" xfId="64" applyNumberFormat="1" applyFont="1" applyFill="1" applyBorder="1" applyAlignment="1">
      <alignment horizontal="center" vertical="center"/>
      <protection/>
    </xf>
    <xf numFmtId="1" fontId="52" fillId="0" borderId="14" xfId="44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2" fontId="16" fillId="0" borderId="49" xfId="0" applyNumberFormat="1" applyFont="1" applyFill="1" applyBorder="1" applyAlignment="1" applyProtection="1">
      <alignment horizontal="center" vertical="center"/>
      <protection/>
    </xf>
    <xf numFmtId="4" fontId="3" fillId="0" borderId="10" xfId="74" applyNumberFormat="1" applyFont="1" applyFill="1" applyBorder="1" applyAlignment="1">
      <alignment horizontal="center" vertical="center"/>
      <protection/>
    </xf>
    <xf numFmtId="4" fontId="3" fillId="0" borderId="21" xfId="74" applyNumberFormat="1" applyFont="1" applyFill="1" applyBorder="1" applyAlignment="1">
      <alignment horizontal="center" vertical="center"/>
      <protection/>
    </xf>
    <xf numFmtId="4" fontId="16" fillId="0" borderId="22" xfId="74" applyNumberFormat="1" applyFont="1" applyFill="1" applyBorder="1" applyAlignment="1">
      <alignment horizontal="center" vertical="center"/>
      <protection/>
    </xf>
    <xf numFmtId="4" fontId="16" fillId="0" borderId="23" xfId="74" applyNumberFormat="1" applyFont="1" applyFill="1" applyBorder="1" applyAlignment="1">
      <alignment horizontal="center" vertical="center"/>
      <protection/>
    </xf>
    <xf numFmtId="2" fontId="8" fillId="0" borderId="0" xfId="0" applyNumberFormat="1" applyFont="1" applyFill="1" applyAlignment="1">
      <alignment horizontal="left" vertical="center"/>
    </xf>
    <xf numFmtId="4" fontId="11" fillId="0" borderId="0" xfId="74" applyNumberFormat="1" applyFont="1" applyFill="1" applyAlignment="1">
      <alignment vertical="center"/>
      <protection/>
    </xf>
    <xf numFmtId="0" fontId="20" fillId="0" borderId="0" xfId="67" applyFont="1" applyAlignment="1">
      <alignment/>
      <protection/>
    </xf>
    <xf numFmtId="0" fontId="18" fillId="0" borderId="14" xfId="0" applyFont="1" applyFill="1" applyBorder="1" applyAlignment="1">
      <alignment horizontal="left" vertical="center" wrapText="1"/>
    </xf>
    <xf numFmtId="0" fontId="27" fillId="0" borderId="14" xfId="67" applyFont="1" applyFill="1" applyBorder="1" applyAlignment="1">
      <alignment horizontal="right" vertical="center"/>
      <protection/>
    </xf>
    <xf numFmtId="0" fontId="28" fillId="0" borderId="14" xfId="67" applyFont="1" applyBorder="1" applyAlignment="1">
      <alignment horizontal="left" vertical="center"/>
      <protection/>
    </xf>
    <xf numFmtId="0" fontId="28" fillId="0" borderId="14" xfId="74" applyFont="1" applyBorder="1" applyAlignment="1">
      <alignment horizontal="right" vertical="center"/>
      <protection/>
    </xf>
    <xf numFmtId="0" fontId="28" fillId="0" borderId="14" xfId="67" applyFont="1" applyBorder="1" applyAlignment="1">
      <alignment horizontal="left" vertical="center" wrapText="1"/>
      <protection/>
    </xf>
    <xf numFmtId="0" fontId="20" fillId="0" borderId="0" xfId="74" applyFont="1" applyBorder="1" applyAlignment="1">
      <alignment horizontal="left" vertical="center" wrapText="1"/>
      <protection/>
    </xf>
    <xf numFmtId="0" fontId="27" fillId="0" borderId="14" xfId="67" applyFont="1" applyBorder="1" applyAlignment="1">
      <alignment horizontal="right" vertical="center"/>
      <protection/>
    </xf>
    <xf numFmtId="0" fontId="18" fillId="0" borderId="0" xfId="67" applyFont="1" applyBorder="1" applyAlignment="1">
      <alignment horizontal="right" vertical="center"/>
      <protection/>
    </xf>
    <xf numFmtId="0" fontId="24" fillId="0" borderId="0" xfId="74" applyFont="1" applyBorder="1" applyAlignment="1">
      <alignment horizontal="left" vertical="center" wrapText="1"/>
      <protection/>
    </xf>
    <xf numFmtId="0" fontId="20" fillId="0" borderId="0" xfId="74" applyFont="1" applyBorder="1" applyAlignment="1">
      <alignment horizontal="left"/>
      <protection/>
    </xf>
    <xf numFmtId="0" fontId="22" fillId="0" borderId="0" xfId="67" applyFont="1" applyBorder="1" applyAlignment="1">
      <alignment horizontal="center" vertical="center"/>
      <protection/>
    </xf>
    <xf numFmtId="0" fontId="23" fillId="0" borderId="37" xfId="48" applyFont="1" applyFill="1" applyBorder="1" applyAlignment="1">
      <alignment horizontal="right" vertical="center" wrapText="1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left" vertical="center" wrapText="1"/>
      <protection/>
    </xf>
    <xf numFmtId="0" fontId="23" fillId="0" borderId="14" xfId="48" applyFont="1" applyFill="1" applyBorder="1" applyAlignment="1">
      <alignment horizontal="center" vertical="center" wrapText="1"/>
      <protection/>
    </xf>
    <xf numFmtId="0" fontId="39" fillId="0" borderId="0" xfId="48" applyFont="1" applyFill="1" applyBorder="1" applyAlignment="1">
      <alignment horizontal="center"/>
      <protection/>
    </xf>
    <xf numFmtId="0" fontId="40" fillId="0" borderId="0" xfId="48" applyFont="1" applyFill="1" applyBorder="1" applyAlignment="1">
      <alignment horizontal="center"/>
      <protection/>
    </xf>
    <xf numFmtId="0" fontId="19" fillId="0" borderId="0" xfId="48" applyFont="1" applyFill="1" applyBorder="1" applyAlignment="1">
      <alignment horizontal="center" vertical="top" wrapText="1"/>
      <protection/>
    </xf>
    <xf numFmtId="0" fontId="20" fillId="0" borderId="0" xfId="48" applyFont="1" applyFill="1" applyBorder="1" applyAlignment="1">
      <alignment horizontal="right"/>
      <protection/>
    </xf>
    <xf numFmtId="0" fontId="20" fillId="0" borderId="0" xfId="67" applyFont="1" applyAlignment="1">
      <alignment horizontal="center"/>
      <protection/>
    </xf>
    <xf numFmtId="10" fontId="20" fillId="0" borderId="0" xfId="48" applyNumberFormat="1" applyFont="1" applyFill="1" applyAlignment="1">
      <alignment horizontal="center" vertical="center" wrapText="1"/>
      <protection/>
    </xf>
    <xf numFmtId="0" fontId="20" fillId="0" borderId="10" xfId="48" applyFont="1" applyFill="1" applyBorder="1" applyAlignment="1">
      <alignment horizontal="right" vertical="center" wrapText="1"/>
      <protection/>
    </xf>
    <xf numFmtId="2" fontId="20" fillId="0" borderId="0" xfId="48" applyNumberFormat="1" applyFont="1" applyFill="1" applyAlignment="1">
      <alignment horizontal="center" vertical="center" wrapText="1"/>
      <protection/>
    </xf>
    <xf numFmtId="0" fontId="20" fillId="0" borderId="0" xfId="48" applyFont="1" applyFill="1" applyBorder="1" applyAlignment="1">
      <alignment horizontal="left" vertical="center"/>
      <protection/>
    </xf>
    <xf numFmtId="0" fontId="23" fillId="0" borderId="14" xfId="48" applyFont="1" applyFill="1" applyBorder="1" applyAlignment="1">
      <alignment horizontal="right" vertical="center"/>
      <protection/>
    </xf>
    <xf numFmtId="0" fontId="20" fillId="0" borderId="12" xfId="48" applyFont="1" applyFill="1" applyBorder="1" applyAlignment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1" fillId="0" borderId="50" xfId="74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vertical="center"/>
    </xf>
    <xf numFmtId="49" fontId="8" fillId="0" borderId="51" xfId="74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68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 wrapText="1"/>
      <protection/>
    </xf>
    <xf numFmtId="0" fontId="20" fillId="0" borderId="0" xfId="67" applyFont="1" applyAlignment="1">
      <alignment horizontal="left"/>
      <protection/>
    </xf>
    <xf numFmtId="2" fontId="11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8" fillId="0" borderId="52" xfId="74" applyNumberFormat="1" applyFont="1" applyFill="1" applyBorder="1" applyAlignment="1">
      <alignment horizontal="right" vertical="center"/>
      <protection/>
    </xf>
    <xf numFmtId="0" fontId="11" fillId="0" borderId="53" xfId="74" applyFont="1" applyFill="1" applyBorder="1" applyAlignment="1">
      <alignment horizontal="right" vertical="center"/>
      <protection/>
    </xf>
    <xf numFmtId="0" fontId="11" fillId="0" borderId="54" xfId="74" applyFont="1" applyFill="1" applyBorder="1" applyAlignment="1">
      <alignment horizontal="right" vertical="center"/>
      <protection/>
    </xf>
    <xf numFmtId="0" fontId="16" fillId="0" borderId="10" xfId="0" applyFont="1" applyFill="1" applyBorder="1" applyAlignment="1">
      <alignment horizontal="center" vertic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left"/>
      <protection/>
    </xf>
    <xf numFmtId="0" fontId="16" fillId="0" borderId="50" xfId="74" applyFont="1" applyFill="1" applyBorder="1" applyAlignment="1">
      <alignment horizontal="right" vertical="center"/>
      <protection/>
    </xf>
    <xf numFmtId="49" fontId="3" fillId="0" borderId="51" xfId="74" applyNumberFormat="1" applyFont="1" applyFill="1" applyBorder="1" applyAlignment="1">
      <alignment horizontal="right" vertical="center"/>
      <protection/>
    </xf>
    <xf numFmtId="0" fontId="46" fillId="0" borderId="0" xfId="0" applyFont="1" applyFill="1" applyBorder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K.T. ar visiem pieskaitāmiem - L.T. tikai transports" xfId="44"/>
    <cellStyle name="Currency" xfId="45"/>
    <cellStyle name="Currency [0]" xfId="46"/>
    <cellStyle name="Currency 2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 2" xfId="61"/>
    <cellStyle name="Normal_Celtniecibas tames - Bernudarzi" xfId="62"/>
    <cellStyle name="Normal_Copy of Taame Nr.1-1" xfId="63"/>
    <cellStyle name="Normal_Gimenes maja Tile2" xfId="64"/>
    <cellStyle name="Normal_Iekšējā apdare " xfId="65"/>
    <cellStyle name="Normal_K.T. ar visiem pieskaitāmiem - L.T. tikai transports" xfId="66"/>
    <cellStyle name="Normal_Polu_vidusskola_kopeja" xfId="67"/>
    <cellStyle name="Normal_Sheet1" xfId="68"/>
    <cellStyle name="Normal_tamlok" xfId="69"/>
    <cellStyle name="Normal_tamlok_tuksaLBN 2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7">
      <selection activeCell="I31" sqref="I31"/>
    </sheetView>
  </sheetViews>
  <sheetFormatPr defaultColWidth="9.28125" defaultRowHeight="15"/>
  <cols>
    <col min="1" max="1" width="9.140625" style="117" customWidth="1"/>
    <col min="2" max="2" width="12.7109375" style="117" customWidth="1"/>
    <col min="3" max="3" width="45.00390625" style="117" customWidth="1"/>
    <col min="4" max="4" width="24.7109375" style="117" customWidth="1"/>
    <col min="5" max="16384" width="9.28125" style="97" customWidth="1"/>
  </cols>
  <sheetData>
    <row r="2" spans="1:4" ht="20.25">
      <c r="A2" s="501" t="s">
        <v>369</v>
      </c>
      <c r="B2" s="501"/>
      <c r="C2" s="501"/>
      <c r="D2" s="501"/>
    </row>
    <row r="3" spans="1:4" ht="15">
      <c r="A3" s="120"/>
      <c r="B3" s="120"/>
      <c r="C3" s="120"/>
      <c r="D3" s="120"/>
    </row>
    <row r="4" spans="1:4" ht="14.25">
      <c r="A4" s="496" t="s">
        <v>11</v>
      </c>
      <c r="B4" s="496"/>
      <c r="C4" s="499" t="s">
        <v>200</v>
      </c>
      <c r="D4" s="499"/>
    </row>
    <row r="5" spans="1:4" ht="14.25">
      <c r="A5" s="496" t="s">
        <v>12</v>
      </c>
      <c r="B5" s="496"/>
      <c r="C5" s="499" t="s">
        <v>169</v>
      </c>
      <c r="D5" s="499"/>
    </row>
    <row r="6" spans="1:4" ht="14.25">
      <c r="A6" s="500" t="s">
        <v>13</v>
      </c>
      <c r="B6" s="500"/>
      <c r="C6" s="499" t="s">
        <v>201</v>
      </c>
      <c r="D6" s="499"/>
    </row>
    <row r="7" spans="1:4" s="119" customFormat="1" ht="15">
      <c r="A7" s="500" t="s">
        <v>103</v>
      </c>
      <c r="B7" s="500"/>
      <c r="C7" s="500"/>
      <c r="D7" s="500"/>
    </row>
    <row r="8" spans="1:4" ht="14.25">
      <c r="A8" s="122"/>
      <c r="B8" s="123"/>
      <c r="C8" s="123"/>
      <c r="D8" s="123"/>
    </row>
    <row r="9" spans="1:4" ht="15">
      <c r="A9" s="498" t="s">
        <v>370</v>
      </c>
      <c r="B9" s="498"/>
      <c r="C9" s="498"/>
      <c r="D9" s="498"/>
    </row>
    <row r="10" spans="1:6" ht="34.5" customHeight="1">
      <c r="A10" s="124"/>
      <c r="B10" s="124"/>
      <c r="C10" s="124"/>
      <c r="D10" s="125"/>
      <c r="F10" s="222"/>
    </row>
    <row r="11" spans="1:4" s="121" customFormat="1" ht="34.5" customHeight="1">
      <c r="A11" s="126" t="s">
        <v>16</v>
      </c>
      <c r="B11" s="126" t="s">
        <v>73</v>
      </c>
      <c r="C11" s="126" t="s">
        <v>74</v>
      </c>
      <c r="D11" s="126" t="s">
        <v>75</v>
      </c>
    </row>
    <row r="12" spans="1:6" s="121" customFormat="1" ht="17.25" customHeight="1">
      <c r="A12" s="128"/>
      <c r="B12" s="233"/>
      <c r="C12" s="193"/>
      <c r="D12" s="131"/>
      <c r="F12" s="223"/>
    </row>
    <row r="13" spans="1:4" s="235" customFormat="1" ht="42" customHeight="1">
      <c r="A13" s="262" t="s">
        <v>76</v>
      </c>
      <c r="B13" s="263"/>
      <c r="C13" s="264" t="s">
        <v>169</v>
      </c>
      <c r="D13" s="265"/>
    </row>
    <row r="14" spans="1:4" s="121" customFormat="1" ht="16.5" customHeight="1">
      <c r="A14" s="132"/>
      <c r="B14" s="129"/>
      <c r="C14" s="130"/>
      <c r="D14" s="131"/>
    </row>
    <row r="15" spans="1:4" s="121" customFormat="1" ht="16.5" customHeight="1">
      <c r="A15" s="133"/>
      <c r="B15" s="134"/>
      <c r="C15" s="135" t="s">
        <v>77</v>
      </c>
      <c r="D15" s="136"/>
    </row>
    <row r="16" spans="1:4" s="121" customFormat="1" ht="17.25" customHeight="1">
      <c r="A16" s="493" t="s">
        <v>99</v>
      </c>
      <c r="B16" s="493"/>
      <c r="C16" s="493"/>
      <c r="D16" s="137"/>
    </row>
    <row r="17" spans="1:4" s="127" customFormat="1" ht="16.5">
      <c r="A17" s="494" t="s">
        <v>77</v>
      </c>
      <c r="B17" s="494"/>
      <c r="C17" s="494"/>
      <c r="D17" s="136"/>
    </row>
    <row r="18" spans="1:4" s="127" customFormat="1" ht="16.5">
      <c r="A18" s="495" t="s">
        <v>136</v>
      </c>
      <c r="B18" s="495"/>
      <c r="C18" s="495"/>
      <c r="D18" s="137"/>
    </row>
    <row r="19" spans="1:4" s="127" customFormat="1" ht="16.5">
      <c r="A19" s="497" t="s">
        <v>78</v>
      </c>
      <c r="B19" s="497"/>
      <c r="C19" s="497"/>
      <c r="D19" s="138"/>
    </row>
    <row r="20" spans="1:4" ht="15">
      <c r="A20" s="491" t="s">
        <v>79</v>
      </c>
      <c r="B20" s="491"/>
      <c r="C20" s="491"/>
      <c r="D20" s="140"/>
    </row>
    <row r="21" spans="1:4" ht="15.75" customHeight="1">
      <c r="A21" s="139"/>
      <c r="B21" s="491" t="s">
        <v>208</v>
      </c>
      <c r="C21" s="491"/>
      <c r="D21" s="140"/>
    </row>
    <row r="22" spans="1:4" ht="15.75" customHeight="1">
      <c r="A22" s="139"/>
      <c r="B22" s="491" t="s">
        <v>209</v>
      </c>
      <c r="C22" s="491"/>
      <c r="D22" s="140"/>
    </row>
    <row r="23" spans="1:4" ht="15.75" customHeight="1">
      <c r="A23" s="139"/>
      <c r="B23" s="491" t="s">
        <v>80</v>
      </c>
      <c r="C23" s="491"/>
      <c r="D23" s="140"/>
    </row>
    <row r="24" spans="1:4" ht="15">
      <c r="A24" s="139"/>
      <c r="B24" s="491" t="s">
        <v>81</v>
      </c>
      <c r="C24" s="491"/>
      <c r="D24" s="140"/>
    </row>
    <row r="25" spans="1:4" ht="15.75" customHeight="1">
      <c r="A25" s="492" t="s">
        <v>77</v>
      </c>
      <c r="B25" s="492"/>
      <c r="C25" s="492"/>
      <c r="D25" s="141"/>
    </row>
    <row r="26" spans="1:4" s="127" customFormat="1" ht="15" customHeight="1">
      <c r="A26" s="142"/>
      <c r="B26" s="142"/>
      <c r="C26" s="142"/>
      <c r="D26" s="142"/>
    </row>
    <row r="27" spans="1:4" s="127" customFormat="1" ht="15" customHeight="1">
      <c r="A27" s="143"/>
      <c r="B27" s="143"/>
      <c r="C27" s="143"/>
      <c r="D27" s="143"/>
    </row>
    <row r="28" spans="1:4" s="127" customFormat="1" ht="15" customHeight="1">
      <c r="A28" s="143"/>
      <c r="B28" s="143"/>
      <c r="C28" s="143"/>
      <c r="D28" s="143"/>
    </row>
    <row r="29" spans="1:4" s="127" customFormat="1" ht="15" customHeight="1">
      <c r="A29" s="122"/>
      <c r="B29" s="122" t="s">
        <v>82</v>
      </c>
      <c r="C29" s="144"/>
      <c r="D29" s="145"/>
    </row>
    <row r="30" spans="1:4" s="127" customFormat="1" ht="15" customHeight="1">
      <c r="A30" s="146"/>
      <c r="B30" s="146"/>
      <c r="C30" s="147" t="s">
        <v>83</v>
      </c>
      <c r="D30" s="148"/>
    </row>
    <row r="31" spans="1:4" s="127" customFormat="1" ht="14.25">
      <c r="A31" s="146"/>
      <c r="B31" s="146"/>
      <c r="C31" s="146"/>
      <c r="D31" s="146"/>
    </row>
    <row r="32" spans="1:4" ht="14.25">
      <c r="A32" s="122"/>
      <c r="B32" s="149" t="s">
        <v>84</v>
      </c>
      <c r="C32" s="144"/>
      <c r="D32" s="145"/>
    </row>
    <row r="33" spans="1:4" ht="14.25">
      <c r="A33" s="146"/>
      <c r="B33" s="146"/>
      <c r="C33" s="146"/>
      <c r="D33" s="146"/>
    </row>
    <row r="34" spans="1:4" ht="14.25">
      <c r="A34" s="146"/>
      <c r="B34" s="146"/>
      <c r="C34" s="146"/>
      <c r="D34" s="146"/>
    </row>
  </sheetData>
  <sheetProtection/>
  <mergeCells count="20">
    <mergeCell ref="A2:D2"/>
    <mergeCell ref="A4:B4"/>
    <mergeCell ref="C4:D4"/>
    <mergeCell ref="A5:B5"/>
    <mergeCell ref="A19:C19"/>
    <mergeCell ref="B22:C22"/>
    <mergeCell ref="B23:C23"/>
    <mergeCell ref="A9:D9"/>
    <mergeCell ref="C5:D5"/>
    <mergeCell ref="A6:B6"/>
    <mergeCell ref="A7:B7"/>
    <mergeCell ref="C7:D7"/>
    <mergeCell ref="C6:D6"/>
    <mergeCell ref="B24:C24"/>
    <mergeCell ref="A25:C25"/>
    <mergeCell ref="B21:C21"/>
    <mergeCell ref="A16:C16"/>
    <mergeCell ref="A17:C17"/>
    <mergeCell ref="A18:C18"/>
    <mergeCell ref="A20:C20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5"/>
  <sheetViews>
    <sheetView zoomScalePageLayoutView="0" workbookViewId="0" topLeftCell="A184">
      <selection activeCell="I201" sqref="I201"/>
    </sheetView>
  </sheetViews>
  <sheetFormatPr defaultColWidth="9.140625" defaultRowHeight="15"/>
  <cols>
    <col min="1" max="1" width="5.140625" style="378" customWidth="1"/>
    <col min="2" max="2" width="7.57421875" style="378" customWidth="1"/>
    <col min="3" max="3" width="23.00390625" style="379" customWidth="1"/>
    <col min="4" max="4" width="5.28125" style="379" customWidth="1"/>
    <col min="5" max="6" width="7.00390625" style="379" customWidth="1"/>
    <col min="7" max="7" width="7.140625" style="379" customWidth="1"/>
    <col min="8" max="8" width="7.421875" style="379" customWidth="1"/>
    <col min="9" max="9" width="7.7109375" style="379" customWidth="1"/>
    <col min="10" max="10" width="9.28125" style="379" customWidth="1"/>
    <col min="11" max="11" width="6.28125" style="379" customWidth="1"/>
    <col min="12" max="12" width="10.28125" style="379" customWidth="1"/>
    <col min="13" max="13" width="9.57421875" style="379" customWidth="1"/>
    <col min="14" max="14" width="8.57421875" style="379" customWidth="1"/>
    <col min="15" max="15" width="9.00390625" style="379" customWidth="1"/>
    <col min="16" max="16" width="8.7109375" style="379" customWidth="1"/>
    <col min="17" max="16384" width="9.140625" style="379" customWidth="1"/>
  </cols>
  <sheetData>
    <row r="1" spans="1:16" s="1" customFormat="1" ht="18">
      <c r="A1" s="527" t="s">
        <v>322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8">
      <c r="A2" s="528" t="s">
        <v>323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2.75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82" customFormat="1" ht="16.5" customHeight="1">
      <c r="A8" s="519" t="s">
        <v>14</v>
      </c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82" customFormat="1" ht="15.75" customHeight="1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</row>
    <row r="10" spans="1:16" s="16" customFormat="1" ht="14.25" customHeight="1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/>
      <c r="P10" s="531"/>
    </row>
    <row r="11" spans="1:16" s="11" customFormat="1" ht="17.25" customHeight="1">
      <c r="A11" s="525" t="s">
        <v>373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28" customFormat="1" ht="16.5">
      <c r="A12" s="24"/>
      <c r="B12" s="24"/>
      <c r="C12" s="25"/>
      <c r="D12" s="25"/>
      <c r="E12" s="26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7"/>
    </row>
    <row r="13" spans="1:16" s="112" customFormat="1" ht="12.75">
      <c r="A13" s="534" t="s">
        <v>16</v>
      </c>
      <c r="B13" s="534" t="s">
        <v>17</v>
      </c>
      <c r="C13" s="538" t="s">
        <v>18</v>
      </c>
      <c r="D13" s="534" t="s">
        <v>19</v>
      </c>
      <c r="E13" s="534" t="s">
        <v>20</v>
      </c>
      <c r="F13" s="534" t="s">
        <v>21</v>
      </c>
      <c r="G13" s="534"/>
      <c r="H13" s="534"/>
      <c r="I13" s="534"/>
      <c r="J13" s="534"/>
      <c r="K13" s="534"/>
      <c r="L13" s="534" t="s">
        <v>22</v>
      </c>
      <c r="M13" s="534"/>
      <c r="N13" s="534"/>
      <c r="O13" s="534"/>
      <c r="P13" s="534"/>
    </row>
    <row r="14" spans="1:16" s="112" customFormat="1" ht="51">
      <c r="A14" s="534"/>
      <c r="B14" s="534"/>
      <c r="C14" s="538"/>
      <c r="D14" s="534"/>
      <c r="E14" s="534"/>
      <c r="F14" s="110" t="s">
        <v>23</v>
      </c>
      <c r="G14" s="110" t="s">
        <v>24</v>
      </c>
      <c r="H14" s="110" t="s">
        <v>25</v>
      </c>
      <c r="I14" s="110" t="s">
        <v>26</v>
      </c>
      <c r="J14" s="110" t="s">
        <v>27</v>
      </c>
      <c r="K14" s="110" t="s">
        <v>28</v>
      </c>
      <c r="L14" s="110" t="s">
        <v>29</v>
      </c>
      <c r="M14" s="110" t="s">
        <v>30</v>
      </c>
      <c r="N14" s="110" t="s">
        <v>31</v>
      </c>
      <c r="O14" s="110" t="s">
        <v>32</v>
      </c>
      <c r="P14" s="110" t="s">
        <v>33</v>
      </c>
    </row>
    <row r="15" spans="1:16" s="112" customFormat="1" ht="12.75">
      <c r="A15" s="340">
        <v>1</v>
      </c>
      <c r="B15" s="340"/>
      <c r="C15" s="341">
        <v>2</v>
      </c>
      <c r="D15" s="340">
        <v>3</v>
      </c>
      <c r="E15" s="340">
        <v>4</v>
      </c>
      <c r="F15" s="340">
        <v>5</v>
      </c>
      <c r="G15" s="340">
        <v>6</v>
      </c>
      <c r="H15" s="340">
        <v>7</v>
      </c>
      <c r="I15" s="340">
        <v>8</v>
      </c>
      <c r="J15" s="340">
        <v>9</v>
      </c>
      <c r="K15" s="340">
        <v>10</v>
      </c>
      <c r="L15" s="340">
        <v>11</v>
      </c>
      <c r="M15" s="340">
        <v>12</v>
      </c>
      <c r="N15" s="340">
        <v>13</v>
      </c>
      <c r="O15" s="340">
        <v>14</v>
      </c>
      <c r="P15" s="340">
        <v>15</v>
      </c>
    </row>
    <row r="16" spans="1:16" s="112" customFormat="1" ht="12.75">
      <c r="A16" s="382"/>
      <c r="B16" s="382"/>
      <c r="C16" s="383" t="s">
        <v>329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</row>
    <row r="17" spans="1:16" s="350" customFormat="1" ht="16.5">
      <c r="A17" s="384"/>
      <c r="B17" s="385"/>
      <c r="C17" s="386" t="s">
        <v>269</v>
      </c>
      <c r="D17" s="387"/>
      <c r="E17" s="388"/>
      <c r="F17" s="389"/>
      <c r="G17" s="389"/>
      <c r="H17" s="390"/>
      <c r="I17" s="391"/>
      <c r="J17" s="392"/>
      <c r="K17" s="393"/>
      <c r="L17" s="393"/>
      <c r="M17" s="393"/>
      <c r="N17" s="393"/>
      <c r="O17" s="393"/>
      <c r="P17" s="393"/>
    </row>
    <row r="18" spans="1:16" s="350" customFormat="1" ht="27">
      <c r="A18" s="394">
        <v>1</v>
      </c>
      <c r="B18" s="395"/>
      <c r="C18" s="396" t="s">
        <v>270</v>
      </c>
      <c r="D18" s="397" t="s">
        <v>34</v>
      </c>
      <c r="E18" s="398">
        <f>9+1.5*3</f>
        <v>13.5</v>
      </c>
      <c r="F18" s="389"/>
      <c r="G18" s="389"/>
      <c r="H18" s="399"/>
      <c r="I18" s="390"/>
      <c r="J18" s="390"/>
      <c r="K18" s="393"/>
      <c r="L18" s="400"/>
      <c r="M18" s="400"/>
      <c r="N18" s="393"/>
      <c r="O18" s="393"/>
      <c r="P18" s="393"/>
    </row>
    <row r="19" spans="1:16" s="350" customFormat="1" ht="18" customHeight="1">
      <c r="A19" s="394">
        <v>2</v>
      </c>
      <c r="B19" s="395"/>
      <c r="C19" s="396" t="s">
        <v>271</v>
      </c>
      <c r="D19" s="397" t="s">
        <v>272</v>
      </c>
      <c r="E19" s="398">
        <v>4</v>
      </c>
      <c r="F19" s="389"/>
      <c r="G19" s="389"/>
      <c r="H19" s="399"/>
      <c r="I19" s="399"/>
      <c r="J19" s="399"/>
      <c r="K19" s="393"/>
      <c r="L19" s="400"/>
      <c r="M19" s="400"/>
      <c r="N19" s="393"/>
      <c r="O19" s="393"/>
      <c r="P19" s="393"/>
    </row>
    <row r="20" spans="1:16" s="350" customFormat="1" ht="16.5">
      <c r="A20" s="394">
        <v>3</v>
      </c>
      <c r="B20" s="395"/>
      <c r="C20" s="396" t="s">
        <v>273</v>
      </c>
      <c r="D20" s="397" t="s">
        <v>34</v>
      </c>
      <c r="E20" s="398">
        <v>19.5</v>
      </c>
      <c r="F20" s="389"/>
      <c r="G20" s="389"/>
      <c r="H20" s="399"/>
      <c r="I20" s="391"/>
      <c r="J20" s="401"/>
      <c r="K20" s="400"/>
      <c r="L20" s="400"/>
      <c r="M20" s="400"/>
      <c r="N20" s="393"/>
      <c r="O20" s="393"/>
      <c r="P20" s="393"/>
    </row>
    <row r="21" spans="1:16" s="350" customFormat="1" ht="16.5">
      <c r="A21" s="394">
        <v>4</v>
      </c>
      <c r="B21" s="395"/>
      <c r="C21" s="396" t="s">
        <v>274</v>
      </c>
      <c r="D21" s="397" t="s">
        <v>34</v>
      </c>
      <c r="E21" s="398">
        <f>4.5</f>
        <v>4.5</v>
      </c>
      <c r="F21" s="389"/>
      <c r="G21" s="389"/>
      <c r="H21" s="399"/>
      <c r="I21" s="391"/>
      <c r="J21" s="401"/>
      <c r="K21" s="400"/>
      <c r="L21" s="400"/>
      <c r="M21" s="400"/>
      <c r="N21" s="393"/>
      <c r="O21" s="393"/>
      <c r="P21" s="393"/>
    </row>
    <row r="22" spans="1:16" s="350" customFormat="1" ht="27">
      <c r="A22" s="394">
        <v>6</v>
      </c>
      <c r="B22" s="395"/>
      <c r="C22" s="396" t="s">
        <v>275</v>
      </c>
      <c r="D22" s="390" t="s">
        <v>276</v>
      </c>
      <c r="E22" s="402">
        <f>E18*0.6</f>
        <v>8.1</v>
      </c>
      <c r="F22" s="389"/>
      <c r="G22" s="389"/>
      <c r="H22" s="399"/>
      <c r="I22" s="391"/>
      <c r="J22" s="401"/>
      <c r="K22" s="400"/>
      <c r="L22" s="400"/>
      <c r="M22" s="400"/>
      <c r="N22" s="393"/>
      <c r="O22" s="393"/>
      <c r="P22" s="393"/>
    </row>
    <row r="23" spans="1:16" s="350" customFormat="1" ht="16.5">
      <c r="A23" s="394">
        <v>7</v>
      </c>
      <c r="B23" s="403"/>
      <c r="C23" s="404" t="s">
        <v>277</v>
      </c>
      <c r="D23" s="395" t="s">
        <v>50</v>
      </c>
      <c r="E23" s="405">
        <f>0.15*E20*2</f>
        <v>5.85</v>
      </c>
      <c r="F23" s="389"/>
      <c r="G23" s="389"/>
      <c r="H23" s="399"/>
      <c r="I23" s="390"/>
      <c r="J23" s="390"/>
      <c r="K23" s="393"/>
      <c r="L23" s="400"/>
      <c r="M23" s="400"/>
      <c r="N23" s="393"/>
      <c r="O23" s="393"/>
      <c r="P23" s="393"/>
    </row>
    <row r="24" spans="1:16" s="350" customFormat="1" ht="16.5">
      <c r="A24" s="394"/>
      <c r="B24" s="406"/>
      <c r="C24" s="407" t="s">
        <v>278</v>
      </c>
      <c r="D24" s="390" t="s">
        <v>100</v>
      </c>
      <c r="E24" s="408">
        <f>E23/8</f>
        <v>0.7</v>
      </c>
      <c r="F24" s="409"/>
      <c r="G24" s="409"/>
      <c r="H24" s="399"/>
      <c r="I24" s="410"/>
      <c r="J24" s="411"/>
      <c r="K24" s="400"/>
      <c r="L24" s="400"/>
      <c r="M24" s="400"/>
      <c r="N24" s="400"/>
      <c r="O24" s="400"/>
      <c r="P24" s="400"/>
    </row>
    <row r="25" spans="1:16" s="350" customFormat="1" ht="16.5">
      <c r="A25" s="394"/>
      <c r="B25" s="406"/>
      <c r="C25" s="386" t="s">
        <v>281</v>
      </c>
      <c r="D25" s="390"/>
      <c r="E25" s="402"/>
      <c r="F25" s="389"/>
      <c r="G25" s="389"/>
      <c r="H25" s="390"/>
      <c r="I25" s="391"/>
      <c r="J25" s="392"/>
      <c r="K25" s="393"/>
      <c r="L25" s="393"/>
      <c r="M25" s="393"/>
      <c r="N25" s="393"/>
      <c r="O25" s="393"/>
      <c r="P25" s="393"/>
    </row>
    <row r="26" spans="1:16" s="350" customFormat="1" ht="40.5">
      <c r="A26" s="394">
        <v>8</v>
      </c>
      <c r="B26" s="395"/>
      <c r="C26" s="412" t="s">
        <v>282</v>
      </c>
      <c r="D26" s="395" t="s">
        <v>34</v>
      </c>
      <c r="E26" s="391">
        <v>31.55</v>
      </c>
      <c r="F26" s="389"/>
      <c r="G26" s="389"/>
      <c r="H26" s="399"/>
      <c r="I26" s="390"/>
      <c r="J26" s="390"/>
      <c r="K26" s="393"/>
      <c r="L26" s="400"/>
      <c r="M26" s="400"/>
      <c r="N26" s="393"/>
      <c r="O26" s="393"/>
      <c r="P26" s="393"/>
    </row>
    <row r="27" spans="1:16" s="350" customFormat="1" ht="16.5">
      <c r="A27" s="394"/>
      <c r="B27" s="395"/>
      <c r="C27" s="413" t="s">
        <v>193</v>
      </c>
      <c r="D27" s="395" t="s">
        <v>44</v>
      </c>
      <c r="E27" s="391">
        <f>E26*0.1</f>
        <v>3.16</v>
      </c>
      <c r="F27" s="389"/>
      <c r="G27" s="389"/>
      <c r="H27" s="399"/>
      <c r="I27" s="390"/>
      <c r="J27" s="390"/>
      <c r="K27" s="393"/>
      <c r="L27" s="400"/>
      <c r="M27" s="400"/>
      <c r="N27" s="393"/>
      <c r="O27" s="393"/>
      <c r="P27" s="393"/>
    </row>
    <row r="28" spans="1:16" s="350" customFormat="1" ht="16.5">
      <c r="A28" s="394"/>
      <c r="B28" s="395"/>
      <c r="C28" s="413" t="s">
        <v>283</v>
      </c>
      <c r="D28" s="395" t="s">
        <v>36</v>
      </c>
      <c r="E28" s="391">
        <f>E26*3</f>
        <v>94.65</v>
      </c>
      <c r="F28" s="389"/>
      <c r="G28" s="389"/>
      <c r="H28" s="399"/>
      <c r="I28" s="390"/>
      <c r="J28" s="390"/>
      <c r="K28" s="393"/>
      <c r="L28" s="400"/>
      <c r="M28" s="400"/>
      <c r="N28" s="393"/>
      <c r="O28" s="393"/>
      <c r="P28" s="393"/>
    </row>
    <row r="29" spans="1:16" s="350" customFormat="1" ht="15.75" customHeight="1">
      <c r="A29" s="394"/>
      <c r="B29" s="395"/>
      <c r="C29" s="413" t="s">
        <v>284</v>
      </c>
      <c r="D29" s="395" t="s">
        <v>36</v>
      </c>
      <c r="E29" s="414">
        <f>E26*1.2</f>
        <v>38</v>
      </c>
      <c r="F29" s="393"/>
      <c r="G29" s="389"/>
      <c r="H29" s="399"/>
      <c r="I29" s="391"/>
      <c r="J29" s="392"/>
      <c r="K29" s="393"/>
      <c r="L29" s="400"/>
      <c r="M29" s="400"/>
      <c r="N29" s="393"/>
      <c r="O29" s="393"/>
      <c r="P29" s="393"/>
    </row>
    <row r="30" spans="1:16" s="350" customFormat="1" ht="16.5">
      <c r="A30" s="394"/>
      <c r="B30" s="395"/>
      <c r="C30" s="413" t="s">
        <v>285</v>
      </c>
      <c r="D30" s="395" t="s">
        <v>36</v>
      </c>
      <c r="E30" s="414">
        <f>E26*0.7</f>
        <v>22</v>
      </c>
      <c r="F30" s="393"/>
      <c r="G30" s="389"/>
      <c r="H30" s="399"/>
      <c r="I30" s="391"/>
      <c r="J30" s="392"/>
      <c r="K30" s="393"/>
      <c r="L30" s="400"/>
      <c r="M30" s="393"/>
      <c r="N30" s="393"/>
      <c r="O30" s="393"/>
      <c r="P30" s="393"/>
    </row>
    <row r="31" spans="1:16" s="350" customFormat="1" ht="16.5">
      <c r="A31" s="394"/>
      <c r="B31" s="395"/>
      <c r="C31" s="413" t="s">
        <v>286</v>
      </c>
      <c r="D31" s="395" t="s">
        <v>287</v>
      </c>
      <c r="E31" s="414">
        <v>1</v>
      </c>
      <c r="F31" s="393"/>
      <c r="G31" s="389"/>
      <c r="H31" s="399"/>
      <c r="I31" s="391"/>
      <c r="J31" s="392"/>
      <c r="K31" s="393"/>
      <c r="L31" s="400"/>
      <c r="M31" s="393"/>
      <c r="N31" s="393"/>
      <c r="O31" s="393"/>
      <c r="P31" s="393"/>
    </row>
    <row r="32" spans="1:16" s="350" customFormat="1" ht="27">
      <c r="A32" s="394">
        <v>9</v>
      </c>
      <c r="B32" s="395"/>
      <c r="C32" s="412" t="s">
        <v>288</v>
      </c>
      <c r="D32" s="395" t="s">
        <v>34</v>
      </c>
      <c r="E32" s="415">
        <v>36.6</v>
      </c>
      <c r="F32" s="389"/>
      <c r="G32" s="389"/>
      <c r="H32" s="399"/>
      <c r="I32" s="390"/>
      <c r="J32" s="390"/>
      <c r="K32" s="393"/>
      <c r="L32" s="400"/>
      <c r="M32" s="393"/>
      <c r="N32" s="393"/>
      <c r="O32" s="393"/>
      <c r="P32" s="393"/>
    </row>
    <row r="33" spans="1:16" s="350" customFormat="1" ht="16.5">
      <c r="A33" s="394"/>
      <c r="B33" s="395"/>
      <c r="C33" s="413" t="s">
        <v>289</v>
      </c>
      <c r="D33" s="395" t="s">
        <v>44</v>
      </c>
      <c r="E33" s="414">
        <f>E32*0.15</f>
        <v>5</v>
      </c>
      <c r="F33" s="389"/>
      <c r="G33" s="389"/>
      <c r="H33" s="399"/>
      <c r="I33" s="390"/>
      <c r="J33" s="390"/>
      <c r="K33" s="393"/>
      <c r="L33" s="400"/>
      <c r="M33" s="393"/>
      <c r="N33" s="393"/>
      <c r="O33" s="393"/>
      <c r="P33" s="393"/>
    </row>
    <row r="34" spans="1:16" s="350" customFormat="1" ht="16.5">
      <c r="A34" s="394"/>
      <c r="B34" s="395"/>
      <c r="C34" s="413" t="s">
        <v>290</v>
      </c>
      <c r="D34" s="395" t="s">
        <v>44</v>
      </c>
      <c r="E34" s="414">
        <f>E32*0.25</f>
        <v>9</v>
      </c>
      <c r="F34" s="393"/>
      <c r="G34" s="389"/>
      <c r="H34" s="399"/>
      <c r="I34" s="391"/>
      <c r="J34" s="392"/>
      <c r="K34" s="393"/>
      <c r="L34" s="400"/>
      <c r="M34" s="393"/>
      <c r="N34" s="393"/>
      <c r="O34" s="393"/>
      <c r="P34" s="393"/>
    </row>
    <row r="35" spans="1:16" s="350" customFormat="1" ht="16.5">
      <c r="A35" s="394"/>
      <c r="B35" s="395"/>
      <c r="C35" s="413" t="s">
        <v>286</v>
      </c>
      <c r="D35" s="395" t="s">
        <v>287</v>
      </c>
      <c r="E35" s="414">
        <v>1</v>
      </c>
      <c r="F35" s="393"/>
      <c r="G35" s="389"/>
      <c r="H35" s="399"/>
      <c r="I35" s="391"/>
      <c r="J35" s="392"/>
      <c r="K35" s="393"/>
      <c r="L35" s="400"/>
      <c r="M35" s="393"/>
      <c r="N35" s="393"/>
      <c r="O35" s="393"/>
      <c r="P35" s="393"/>
    </row>
    <row r="36" spans="1:16" s="350" customFormat="1" ht="16.5">
      <c r="A36" s="394">
        <v>10</v>
      </c>
      <c r="B36" s="406"/>
      <c r="C36" s="396" t="s">
        <v>291</v>
      </c>
      <c r="D36" s="395" t="s">
        <v>34</v>
      </c>
      <c r="E36" s="405">
        <v>10.6</v>
      </c>
      <c r="F36" s="389"/>
      <c r="G36" s="389"/>
      <c r="H36" s="399"/>
      <c r="I36" s="390"/>
      <c r="J36" s="390"/>
      <c r="K36" s="393"/>
      <c r="L36" s="400"/>
      <c r="M36" s="393"/>
      <c r="N36" s="393"/>
      <c r="O36" s="393"/>
      <c r="P36" s="393"/>
    </row>
    <row r="37" spans="1:16" s="350" customFormat="1" ht="16.5">
      <c r="A37" s="394"/>
      <c r="B37" s="406"/>
      <c r="C37" s="413" t="s">
        <v>141</v>
      </c>
      <c r="D37" s="395" t="s">
        <v>44</v>
      </c>
      <c r="E37" s="405">
        <f>E36*0.1</f>
        <v>1.06</v>
      </c>
      <c r="F37" s="389"/>
      <c r="G37" s="389"/>
      <c r="H37" s="399"/>
      <c r="I37" s="390"/>
      <c r="J37" s="390"/>
      <c r="K37" s="393"/>
      <c r="L37" s="400"/>
      <c r="M37" s="393"/>
      <c r="N37" s="393"/>
      <c r="O37" s="393"/>
      <c r="P37" s="393"/>
    </row>
    <row r="38" spans="1:16" s="350" customFormat="1" ht="16.5">
      <c r="A38" s="394"/>
      <c r="B38" s="403"/>
      <c r="C38" s="413" t="s">
        <v>292</v>
      </c>
      <c r="D38" s="395" t="s">
        <v>36</v>
      </c>
      <c r="E38" s="405">
        <f>E36*4.5</f>
        <v>47.7</v>
      </c>
      <c r="F38" s="389"/>
      <c r="G38" s="389"/>
      <c r="H38" s="399"/>
      <c r="I38" s="390"/>
      <c r="J38" s="390"/>
      <c r="K38" s="393"/>
      <c r="L38" s="400"/>
      <c r="M38" s="393"/>
      <c r="N38" s="393"/>
      <c r="O38" s="393"/>
      <c r="P38" s="393"/>
    </row>
    <row r="39" spans="1:16" s="350" customFormat="1" ht="16.5">
      <c r="A39" s="394"/>
      <c r="B39" s="403"/>
      <c r="C39" s="413" t="s">
        <v>293</v>
      </c>
      <c r="D39" s="395" t="s">
        <v>36</v>
      </c>
      <c r="E39" s="405">
        <f>E36*0.3</f>
        <v>3.18</v>
      </c>
      <c r="F39" s="389"/>
      <c r="G39" s="389"/>
      <c r="H39" s="399"/>
      <c r="I39" s="390"/>
      <c r="J39" s="390"/>
      <c r="K39" s="393"/>
      <c r="L39" s="400"/>
      <c r="M39" s="393"/>
      <c r="N39" s="393"/>
      <c r="O39" s="393"/>
      <c r="P39" s="393"/>
    </row>
    <row r="40" spans="1:16" s="350" customFormat="1" ht="16.5">
      <c r="A40" s="394"/>
      <c r="B40" s="395"/>
      <c r="C40" s="413" t="s">
        <v>294</v>
      </c>
      <c r="D40" s="395" t="s">
        <v>34</v>
      </c>
      <c r="E40" s="405">
        <f>E36*1.25</f>
        <v>13.25</v>
      </c>
      <c r="F40" s="393"/>
      <c r="G40" s="389"/>
      <c r="H40" s="399"/>
      <c r="I40" s="390"/>
      <c r="J40" s="390"/>
      <c r="K40" s="393"/>
      <c r="L40" s="400"/>
      <c r="M40" s="393"/>
      <c r="N40" s="393"/>
      <c r="O40" s="393"/>
      <c r="P40" s="393"/>
    </row>
    <row r="41" spans="1:16" s="350" customFormat="1" ht="16.5">
      <c r="A41" s="394"/>
      <c r="B41" s="395"/>
      <c r="C41" s="413" t="s">
        <v>295</v>
      </c>
      <c r="D41" s="395" t="s">
        <v>287</v>
      </c>
      <c r="E41" s="405">
        <v>1</v>
      </c>
      <c r="F41" s="393"/>
      <c r="G41" s="389"/>
      <c r="H41" s="399"/>
      <c r="I41" s="390"/>
      <c r="J41" s="390"/>
      <c r="K41" s="393"/>
      <c r="L41" s="400"/>
      <c r="M41" s="393"/>
      <c r="N41" s="393"/>
      <c r="O41" s="393"/>
      <c r="P41" s="393"/>
    </row>
    <row r="42" spans="1:16" s="350" customFormat="1" ht="16.5">
      <c r="A42" s="394"/>
      <c r="B42" s="406"/>
      <c r="C42" s="416" t="s">
        <v>296</v>
      </c>
      <c r="D42" s="390"/>
      <c r="E42" s="402"/>
      <c r="F42" s="389"/>
      <c r="G42" s="389"/>
      <c r="H42" s="390"/>
      <c r="I42" s="391"/>
      <c r="J42" s="392"/>
      <c r="K42" s="393"/>
      <c r="L42" s="393"/>
      <c r="M42" s="393"/>
      <c r="N42" s="393"/>
      <c r="O42" s="393"/>
      <c r="P42" s="393"/>
    </row>
    <row r="43" spans="1:16" s="350" customFormat="1" ht="54">
      <c r="A43" s="394">
        <v>11</v>
      </c>
      <c r="B43" s="417"/>
      <c r="C43" s="418" t="s">
        <v>297</v>
      </c>
      <c r="D43" s="395" t="s">
        <v>34</v>
      </c>
      <c r="E43" s="405">
        <v>19.5</v>
      </c>
      <c r="F43" s="389"/>
      <c r="G43" s="389"/>
      <c r="H43" s="399"/>
      <c r="I43" s="390"/>
      <c r="J43" s="390"/>
      <c r="K43" s="393"/>
      <c r="L43" s="400"/>
      <c r="M43" s="393"/>
      <c r="N43" s="393"/>
      <c r="O43" s="393"/>
      <c r="P43" s="393"/>
    </row>
    <row r="44" spans="1:16" s="350" customFormat="1" ht="16.5">
      <c r="A44" s="394"/>
      <c r="B44" s="406"/>
      <c r="C44" s="413" t="s">
        <v>298</v>
      </c>
      <c r="D44" s="395" t="s">
        <v>44</v>
      </c>
      <c r="E44" s="405">
        <f>E43*0.15</f>
        <v>2.93</v>
      </c>
      <c r="F44" s="390"/>
      <c r="G44" s="390"/>
      <c r="H44" s="399"/>
      <c r="I44" s="390"/>
      <c r="J44" s="390"/>
      <c r="K44" s="393"/>
      <c r="L44" s="400"/>
      <c r="M44" s="393"/>
      <c r="N44" s="393"/>
      <c r="O44" s="393"/>
      <c r="P44" s="393"/>
    </row>
    <row r="45" spans="1:16" s="350" customFormat="1" ht="16.5">
      <c r="A45" s="394"/>
      <c r="B45" s="406"/>
      <c r="C45" s="413" t="s">
        <v>299</v>
      </c>
      <c r="D45" s="395" t="s">
        <v>36</v>
      </c>
      <c r="E45" s="419">
        <f>E43*25</f>
        <v>488</v>
      </c>
      <c r="F45" s="389"/>
      <c r="G45" s="389"/>
      <c r="H45" s="399"/>
      <c r="I45" s="390"/>
      <c r="J45" s="390"/>
      <c r="K45" s="393"/>
      <c r="L45" s="400"/>
      <c r="M45" s="393"/>
      <c r="N45" s="393"/>
      <c r="O45" s="393"/>
      <c r="P45" s="393"/>
    </row>
    <row r="46" spans="1:16" s="350" customFormat="1" ht="16.5">
      <c r="A46" s="394"/>
      <c r="B46" s="403"/>
      <c r="C46" s="413" t="s">
        <v>286</v>
      </c>
      <c r="D46" s="390" t="s">
        <v>287</v>
      </c>
      <c r="E46" s="402">
        <v>1</v>
      </c>
      <c r="F46" s="389"/>
      <c r="G46" s="389"/>
      <c r="H46" s="399"/>
      <c r="I46" s="391"/>
      <c r="J46" s="392"/>
      <c r="K46" s="393"/>
      <c r="L46" s="400"/>
      <c r="M46" s="393"/>
      <c r="N46" s="393"/>
      <c r="O46" s="393"/>
      <c r="P46" s="393"/>
    </row>
    <row r="47" spans="1:16" s="350" customFormat="1" ht="16.5">
      <c r="A47" s="394">
        <v>12</v>
      </c>
      <c r="B47" s="406"/>
      <c r="C47" s="396" t="s">
        <v>300</v>
      </c>
      <c r="D47" s="395" t="s">
        <v>34</v>
      </c>
      <c r="E47" s="405">
        <f>E43</f>
        <v>19.5</v>
      </c>
      <c r="F47" s="389"/>
      <c r="G47" s="389"/>
      <c r="H47" s="399"/>
      <c r="I47" s="390"/>
      <c r="J47" s="390"/>
      <c r="K47" s="393"/>
      <c r="L47" s="400"/>
      <c r="M47" s="393"/>
      <c r="N47" s="393"/>
      <c r="O47" s="393"/>
      <c r="P47" s="393"/>
    </row>
    <row r="48" spans="1:16" s="350" customFormat="1" ht="16.5">
      <c r="A48" s="394"/>
      <c r="B48" s="406"/>
      <c r="C48" s="413" t="s">
        <v>141</v>
      </c>
      <c r="D48" s="395" t="s">
        <v>44</v>
      </c>
      <c r="E48" s="405">
        <f>E47*0.1</f>
        <v>1.95</v>
      </c>
      <c r="F48" s="389"/>
      <c r="G48" s="389"/>
      <c r="H48" s="390"/>
      <c r="I48" s="390"/>
      <c r="J48" s="390"/>
      <c r="K48" s="393"/>
      <c r="L48" s="393"/>
      <c r="M48" s="393"/>
      <c r="N48" s="393"/>
      <c r="O48" s="393"/>
      <c r="P48" s="393"/>
    </row>
    <row r="49" spans="1:16" s="350" customFormat="1" ht="16.5">
      <c r="A49" s="394"/>
      <c r="B49" s="403"/>
      <c r="C49" s="413" t="s">
        <v>292</v>
      </c>
      <c r="D49" s="395" t="s">
        <v>36</v>
      </c>
      <c r="E49" s="405">
        <f>E47*4</f>
        <v>78</v>
      </c>
      <c r="F49" s="389"/>
      <c r="G49" s="389"/>
      <c r="H49" s="390"/>
      <c r="I49" s="390"/>
      <c r="J49" s="390"/>
      <c r="K49" s="393"/>
      <c r="L49" s="393"/>
      <c r="M49" s="393"/>
      <c r="N49" s="393"/>
      <c r="O49" s="393"/>
      <c r="P49" s="393"/>
    </row>
    <row r="50" spans="1:16" s="350" customFormat="1" ht="16.5">
      <c r="A50" s="394"/>
      <c r="B50" s="403"/>
      <c r="C50" s="413" t="s">
        <v>293</v>
      </c>
      <c r="D50" s="395" t="s">
        <v>36</v>
      </c>
      <c r="E50" s="405">
        <f>E47*0.3</f>
        <v>5.85</v>
      </c>
      <c r="F50" s="389"/>
      <c r="G50" s="389"/>
      <c r="H50" s="390"/>
      <c r="I50" s="390"/>
      <c r="J50" s="390"/>
      <c r="K50" s="393"/>
      <c r="L50" s="393"/>
      <c r="M50" s="393"/>
      <c r="N50" s="393"/>
      <c r="O50" s="393"/>
      <c r="P50" s="393"/>
    </row>
    <row r="51" spans="1:16" s="350" customFormat="1" ht="16.5">
      <c r="A51" s="394"/>
      <c r="B51" s="395"/>
      <c r="C51" s="413" t="s">
        <v>301</v>
      </c>
      <c r="D51" s="395" t="s">
        <v>34</v>
      </c>
      <c r="E51" s="405">
        <f>E47*1.2</f>
        <v>23.4</v>
      </c>
      <c r="F51" s="393"/>
      <c r="G51" s="389"/>
      <c r="H51" s="390"/>
      <c r="I51" s="390"/>
      <c r="J51" s="390"/>
      <c r="K51" s="393"/>
      <c r="L51" s="393"/>
      <c r="M51" s="393"/>
      <c r="N51" s="393"/>
      <c r="O51" s="393"/>
      <c r="P51" s="393"/>
    </row>
    <row r="52" spans="1:16" s="350" customFormat="1" ht="16.5">
      <c r="A52" s="394"/>
      <c r="B52" s="395"/>
      <c r="C52" s="413" t="s">
        <v>295</v>
      </c>
      <c r="D52" s="395" t="s">
        <v>287</v>
      </c>
      <c r="E52" s="405">
        <v>1</v>
      </c>
      <c r="F52" s="393"/>
      <c r="G52" s="389"/>
      <c r="H52" s="390"/>
      <c r="I52" s="390"/>
      <c r="J52" s="390"/>
      <c r="K52" s="393"/>
      <c r="L52" s="393"/>
      <c r="M52" s="393"/>
      <c r="N52" s="393"/>
      <c r="O52" s="393"/>
      <c r="P52" s="393"/>
    </row>
    <row r="53" spans="1:16" s="350" customFormat="1" ht="16.5">
      <c r="A53" s="394"/>
      <c r="B53" s="406"/>
      <c r="C53" s="416" t="s">
        <v>302</v>
      </c>
      <c r="D53" s="390"/>
      <c r="E53" s="402"/>
      <c r="F53" s="389"/>
      <c r="G53" s="389"/>
      <c r="H53" s="390"/>
      <c r="I53" s="391"/>
      <c r="J53" s="392"/>
      <c r="K53" s="393"/>
      <c r="L53" s="393"/>
      <c r="M53" s="393"/>
      <c r="N53" s="393"/>
      <c r="O53" s="393"/>
      <c r="P53" s="393"/>
    </row>
    <row r="54" spans="1:16" s="350" customFormat="1" ht="27">
      <c r="A54" s="394">
        <v>13</v>
      </c>
      <c r="B54" s="406"/>
      <c r="C54" s="396" t="s">
        <v>303</v>
      </c>
      <c r="D54" s="390" t="s">
        <v>34</v>
      </c>
      <c r="E54" s="402">
        <v>19.5</v>
      </c>
      <c r="F54" s="389"/>
      <c r="G54" s="389"/>
      <c r="H54" s="399"/>
      <c r="I54" s="390"/>
      <c r="J54" s="390"/>
      <c r="K54" s="393"/>
      <c r="L54" s="400"/>
      <c r="M54" s="393"/>
      <c r="N54" s="393"/>
      <c r="O54" s="393"/>
      <c r="P54" s="393"/>
    </row>
    <row r="55" spans="1:16" s="350" customFormat="1" ht="16.5">
      <c r="A55" s="394"/>
      <c r="B55" s="406"/>
      <c r="C55" s="413" t="s">
        <v>304</v>
      </c>
      <c r="D55" s="390" t="s">
        <v>34</v>
      </c>
      <c r="E55" s="402">
        <f>E54</f>
        <v>19.5</v>
      </c>
      <c r="F55" s="389"/>
      <c r="G55" s="389"/>
      <c r="H55" s="399"/>
      <c r="I55" s="390"/>
      <c r="J55" s="390"/>
      <c r="K55" s="393"/>
      <c r="L55" s="400"/>
      <c r="M55" s="393"/>
      <c r="N55" s="393"/>
      <c r="O55" s="393"/>
      <c r="P55" s="393"/>
    </row>
    <row r="56" spans="1:16" s="350" customFormat="1" ht="16.5">
      <c r="A56" s="394"/>
      <c r="B56" s="406"/>
      <c r="C56" s="413" t="s">
        <v>305</v>
      </c>
      <c r="D56" s="390" t="s">
        <v>34</v>
      </c>
      <c r="E56" s="402">
        <f>E54*1.15</f>
        <v>22.43</v>
      </c>
      <c r="F56" s="389"/>
      <c r="G56" s="389"/>
      <c r="H56" s="399"/>
      <c r="I56" s="390"/>
      <c r="J56" s="390"/>
      <c r="K56" s="393"/>
      <c r="L56" s="400"/>
      <c r="M56" s="393"/>
      <c r="N56" s="393"/>
      <c r="O56" s="393"/>
      <c r="P56" s="393"/>
    </row>
    <row r="57" spans="1:16" s="350" customFormat="1" ht="16.5">
      <c r="A57" s="394"/>
      <c r="B57" s="395"/>
      <c r="C57" s="413" t="s">
        <v>286</v>
      </c>
      <c r="D57" s="395" t="s">
        <v>287</v>
      </c>
      <c r="E57" s="414">
        <v>1</v>
      </c>
      <c r="F57" s="393"/>
      <c r="G57" s="389"/>
      <c r="H57" s="399"/>
      <c r="I57" s="391"/>
      <c r="J57" s="392"/>
      <c r="K57" s="393"/>
      <c r="L57" s="400"/>
      <c r="M57" s="393"/>
      <c r="N57" s="393"/>
      <c r="O57" s="393"/>
      <c r="P57" s="393"/>
    </row>
    <row r="58" spans="1:16" s="350" customFormat="1" ht="16.5">
      <c r="A58" s="394"/>
      <c r="B58" s="403"/>
      <c r="C58" s="416" t="s">
        <v>0</v>
      </c>
      <c r="D58" s="390"/>
      <c r="E58" s="402"/>
      <c r="F58" s="389"/>
      <c r="G58" s="389"/>
      <c r="H58" s="390"/>
      <c r="I58" s="390"/>
      <c r="J58" s="390"/>
      <c r="K58" s="393"/>
      <c r="L58" s="393"/>
      <c r="M58" s="393"/>
      <c r="N58" s="393"/>
      <c r="O58" s="393"/>
      <c r="P58" s="393"/>
    </row>
    <row r="59" spans="1:16" s="350" customFormat="1" ht="27">
      <c r="A59" s="394">
        <v>14</v>
      </c>
      <c r="B59" s="403"/>
      <c r="C59" s="412" t="s">
        <v>330</v>
      </c>
      <c r="D59" s="395" t="s">
        <v>272</v>
      </c>
      <c r="E59" s="414">
        <v>4</v>
      </c>
      <c r="F59" s="389"/>
      <c r="G59" s="389"/>
      <c r="H59" s="399"/>
      <c r="I59" s="390"/>
      <c r="J59" s="390"/>
      <c r="K59" s="393"/>
      <c r="L59" s="400"/>
      <c r="M59" s="393"/>
      <c r="N59" s="393"/>
      <c r="O59" s="393"/>
      <c r="P59" s="393"/>
    </row>
    <row r="60" spans="1:16" s="350" customFormat="1" ht="16.5">
      <c r="A60" s="394"/>
      <c r="B60" s="403"/>
      <c r="C60" s="413" t="s">
        <v>307</v>
      </c>
      <c r="D60" s="395" t="s">
        <v>272</v>
      </c>
      <c r="E60" s="414">
        <f>E59</f>
        <v>4</v>
      </c>
      <c r="F60" s="389"/>
      <c r="G60" s="389"/>
      <c r="H60" s="399"/>
      <c r="I60" s="393"/>
      <c r="J60" s="390"/>
      <c r="K60" s="393"/>
      <c r="L60" s="400"/>
      <c r="M60" s="393"/>
      <c r="N60" s="393"/>
      <c r="O60" s="393"/>
      <c r="P60" s="393"/>
    </row>
    <row r="61" spans="1:16" s="350" customFormat="1" ht="16.5">
      <c r="A61" s="394"/>
      <c r="B61" s="403"/>
      <c r="C61" s="413" t="s">
        <v>308</v>
      </c>
      <c r="D61" s="390" t="s">
        <v>287</v>
      </c>
      <c r="E61" s="420">
        <v>1</v>
      </c>
      <c r="F61" s="389"/>
      <c r="G61" s="389"/>
      <c r="H61" s="399"/>
      <c r="I61" s="391"/>
      <c r="J61" s="392"/>
      <c r="K61" s="393"/>
      <c r="L61" s="400"/>
      <c r="M61" s="393"/>
      <c r="N61" s="393"/>
      <c r="O61" s="393"/>
      <c r="P61" s="393"/>
    </row>
    <row r="62" spans="1:16" s="350" customFormat="1" ht="16.5">
      <c r="A62" s="394"/>
      <c r="B62" s="406"/>
      <c r="C62" s="416" t="s">
        <v>309</v>
      </c>
      <c r="D62" s="390"/>
      <c r="E62" s="402"/>
      <c r="F62" s="389"/>
      <c r="G62" s="389"/>
      <c r="H62" s="390"/>
      <c r="I62" s="391"/>
      <c r="J62" s="392"/>
      <c r="K62" s="393"/>
      <c r="L62" s="393"/>
      <c r="M62" s="393"/>
      <c r="N62" s="393"/>
      <c r="O62" s="393"/>
      <c r="P62" s="393"/>
    </row>
    <row r="63" spans="1:16" s="350" customFormat="1" ht="40.5">
      <c r="A63" s="394">
        <v>15</v>
      </c>
      <c r="B63" s="406"/>
      <c r="C63" s="396" t="s">
        <v>310</v>
      </c>
      <c r="D63" s="390" t="s">
        <v>287</v>
      </c>
      <c r="E63" s="420">
        <v>1</v>
      </c>
      <c r="F63" s="389"/>
      <c r="G63" s="389"/>
      <c r="H63" s="399"/>
      <c r="I63" s="390"/>
      <c r="J63" s="390"/>
      <c r="K63" s="393"/>
      <c r="L63" s="400"/>
      <c r="M63" s="393"/>
      <c r="N63" s="393"/>
      <c r="O63" s="393"/>
      <c r="P63" s="393"/>
    </row>
    <row r="64" spans="1:16" s="350" customFormat="1" ht="16.5">
      <c r="A64" s="394"/>
      <c r="B64" s="406"/>
      <c r="C64" s="416" t="s">
        <v>311</v>
      </c>
      <c r="D64" s="390"/>
      <c r="E64" s="420"/>
      <c r="F64" s="389"/>
      <c r="G64" s="389"/>
      <c r="H64" s="399"/>
      <c r="I64" s="390"/>
      <c r="J64" s="390"/>
      <c r="K64" s="393"/>
      <c r="L64" s="400"/>
      <c r="M64" s="393"/>
      <c r="N64" s="393"/>
      <c r="O64" s="393"/>
      <c r="P64" s="393"/>
    </row>
    <row r="65" spans="1:16" s="350" customFormat="1" ht="27">
      <c r="A65" s="394">
        <v>16</v>
      </c>
      <c r="B65" s="406"/>
      <c r="C65" s="412" t="s">
        <v>312</v>
      </c>
      <c r="D65" s="390" t="s">
        <v>287</v>
      </c>
      <c r="E65" s="420">
        <v>1</v>
      </c>
      <c r="F65" s="389"/>
      <c r="G65" s="389"/>
      <c r="H65" s="399"/>
      <c r="I65" s="390"/>
      <c r="J65" s="390"/>
      <c r="K65" s="393"/>
      <c r="L65" s="400"/>
      <c r="M65" s="393"/>
      <c r="N65" s="393"/>
      <c r="O65" s="393"/>
      <c r="P65" s="393"/>
    </row>
    <row r="66" spans="1:16" s="350" customFormat="1" ht="16.5">
      <c r="A66" s="394"/>
      <c r="B66" s="406"/>
      <c r="C66" s="416" t="s">
        <v>313</v>
      </c>
      <c r="D66" s="390"/>
      <c r="E66" s="420"/>
      <c r="F66" s="389"/>
      <c r="G66" s="389"/>
      <c r="H66" s="390"/>
      <c r="I66" s="390"/>
      <c r="J66" s="390"/>
      <c r="K66" s="393"/>
      <c r="L66" s="393"/>
      <c r="M66" s="393"/>
      <c r="N66" s="393"/>
      <c r="O66" s="393"/>
      <c r="P66" s="393"/>
    </row>
    <row r="67" spans="1:16" s="350" customFormat="1" ht="27">
      <c r="A67" s="394">
        <v>17</v>
      </c>
      <c r="B67" s="406"/>
      <c r="C67" s="396" t="s">
        <v>314</v>
      </c>
      <c r="D67" s="390" t="s">
        <v>287</v>
      </c>
      <c r="E67" s="420">
        <v>8</v>
      </c>
      <c r="F67" s="389"/>
      <c r="G67" s="389"/>
      <c r="H67" s="399"/>
      <c r="I67" s="390"/>
      <c r="J67" s="390"/>
      <c r="K67" s="393"/>
      <c r="L67" s="400"/>
      <c r="M67" s="393"/>
      <c r="N67" s="393"/>
      <c r="O67" s="393"/>
      <c r="P67" s="393"/>
    </row>
    <row r="68" spans="1:16" s="350" customFormat="1" ht="27">
      <c r="A68" s="394">
        <v>18</v>
      </c>
      <c r="B68" s="406"/>
      <c r="C68" s="396" t="s">
        <v>315</v>
      </c>
      <c r="D68" s="390" t="s">
        <v>100</v>
      </c>
      <c r="E68" s="420">
        <v>5</v>
      </c>
      <c r="F68" s="389"/>
      <c r="G68" s="389"/>
      <c r="H68" s="399"/>
      <c r="I68" s="390"/>
      <c r="J68" s="390"/>
      <c r="K68" s="393"/>
      <c r="L68" s="400"/>
      <c r="M68" s="393"/>
      <c r="N68" s="393"/>
      <c r="O68" s="393"/>
      <c r="P68" s="393"/>
    </row>
    <row r="69" spans="1:16" s="350" customFormat="1" ht="16.5">
      <c r="A69" s="394"/>
      <c r="B69" s="406"/>
      <c r="C69" s="413" t="s">
        <v>316</v>
      </c>
      <c r="D69" s="390" t="s">
        <v>100</v>
      </c>
      <c r="E69" s="420">
        <v>7</v>
      </c>
      <c r="F69" s="393"/>
      <c r="G69" s="389"/>
      <c r="H69" s="399"/>
      <c r="I69" s="391"/>
      <c r="J69" s="392"/>
      <c r="K69" s="393"/>
      <c r="L69" s="400"/>
      <c r="M69" s="393"/>
      <c r="N69" s="393"/>
      <c r="O69" s="393"/>
      <c r="P69" s="393"/>
    </row>
    <row r="70" spans="1:16" s="350" customFormat="1" ht="16.5">
      <c r="A70" s="394"/>
      <c r="B70" s="406"/>
      <c r="C70" s="413" t="s">
        <v>317</v>
      </c>
      <c r="D70" s="390" t="s">
        <v>287</v>
      </c>
      <c r="E70" s="420">
        <v>1</v>
      </c>
      <c r="F70" s="393"/>
      <c r="G70" s="389"/>
      <c r="H70" s="399"/>
      <c r="I70" s="391"/>
      <c r="J70" s="392"/>
      <c r="K70" s="393"/>
      <c r="L70" s="400"/>
      <c r="M70" s="393"/>
      <c r="N70" s="393"/>
      <c r="O70" s="393"/>
      <c r="P70" s="393"/>
    </row>
    <row r="71" spans="1:16" s="350" customFormat="1" ht="16.5">
      <c r="A71" s="394">
        <v>19</v>
      </c>
      <c r="B71" s="406"/>
      <c r="C71" s="396" t="s">
        <v>318</v>
      </c>
      <c r="D71" s="390" t="s">
        <v>100</v>
      </c>
      <c r="E71" s="420">
        <v>1</v>
      </c>
      <c r="F71" s="389"/>
      <c r="G71" s="389"/>
      <c r="H71" s="399"/>
      <c r="I71" s="390"/>
      <c r="J71" s="390"/>
      <c r="K71" s="393"/>
      <c r="L71" s="400"/>
      <c r="M71" s="393"/>
      <c r="N71" s="393"/>
      <c r="O71" s="393"/>
      <c r="P71" s="393"/>
    </row>
    <row r="72" spans="1:16" s="350" customFormat="1" ht="16.5">
      <c r="A72" s="394"/>
      <c r="B72" s="406"/>
      <c r="C72" s="413" t="s">
        <v>319</v>
      </c>
      <c r="D72" s="390" t="s">
        <v>100</v>
      </c>
      <c r="E72" s="420">
        <f>E71</f>
        <v>1</v>
      </c>
      <c r="F72" s="393"/>
      <c r="G72" s="389"/>
      <c r="H72" s="399"/>
      <c r="I72" s="391"/>
      <c r="J72" s="392"/>
      <c r="K72" s="393"/>
      <c r="L72" s="400"/>
      <c r="M72" s="393"/>
      <c r="N72" s="393"/>
      <c r="O72" s="393"/>
      <c r="P72" s="393"/>
    </row>
    <row r="73" spans="1:16" s="350" customFormat="1" ht="16.5">
      <c r="A73" s="394"/>
      <c r="B73" s="406"/>
      <c r="C73" s="413" t="s">
        <v>317</v>
      </c>
      <c r="D73" s="390" t="s">
        <v>287</v>
      </c>
      <c r="E73" s="420">
        <v>1</v>
      </c>
      <c r="F73" s="393"/>
      <c r="G73" s="389"/>
      <c r="H73" s="399"/>
      <c r="I73" s="391"/>
      <c r="J73" s="392"/>
      <c r="K73" s="393"/>
      <c r="L73" s="400"/>
      <c r="M73" s="393"/>
      <c r="N73" s="393"/>
      <c r="O73" s="393"/>
      <c r="P73" s="393"/>
    </row>
    <row r="74" spans="1:16" s="350" customFormat="1" ht="16.5">
      <c r="A74" s="394"/>
      <c r="B74" s="406"/>
      <c r="C74" s="416" t="s">
        <v>320</v>
      </c>
      <c r="D74" s="390"/>
      <c r="E74" s="402"/>
      <c r="F74" s="389"/>
      <c r="G74" s="389"/>
      <c r="H74" s="390"/>
      <c r="I74" s="391"/>
      <c r="J74" s="392"/>
      <c r="K74" s="393"/>
      <c r="L74" s="393"/>
      <c r="M74" s="393"/>
      <c r="N74" s="393"/>
      <c r="O74" s="393"/>
      <c r="P74" s="393"/>
    </row>
    <row r="75" spans="1:16" s="350" customFormat="1" ht="40.5">
      <c r="A75" s="394">
        <v>20</v>
      </c>
      <c r="B75" s="406"/>
      <c r="C75" s="412" t="s">
        <v>321</v>
      </c>
      <c r="D75" s="390" t="s">
        <v>287</v>
      </c>
      <c r="E75" s="420">
        <v>1</v>
      </c>
      <c r="F75" s="389"/>
      <c r="G75" s="389"/>
      <c r="H75" s="399"/>
      <c r="I75" s="390"/>
      <c r="J75" s="390"/>
      <c r="K75" s="393"/>
      <c r="L75" s="400"/>
      <c r="M75" s="393"/>
      <c r="N75" s="393"/>
      <c r="O75" s="393"/>
      <c r="P75" s="393"/>
    </row>
    <row r="76" spans="1:16" s="350" customFormat="1" ht="16.5">
      <c r="A76" s="382"/>
      <c r="B76" s="382"/>
      <c r="C76" s="383" t="s">
        <v>327</v>
      </c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</row>
    <row r="77" spans="1:16" s="350" customFormat="1" ht="16.5">
      <c r="A77" s="384"/>
      <c r="B77" s="385"/>
      <c r="C77" s="386" t="s">
        <v>269</v>
      </c>
      <c r="D77" s="387"/>
      <c r="E77" s="388"/>
      <c r="F77" s="389"/>
      <c r="G77" s="389"/>
      <c r="H77" s="390"/>
      <c r="I77" s="391"/>
      <c r="J77" s="392"/>
      <c r="K77" s="393"/>
      <c r="L77" s="393"/>
      <c r="M77" s="393"/>
      <c r="N77" s="393"/>
      <c r="O77" s="393"/>
      <c r="P77" s="393"/>
    </row>
    <row r="78" spans="1:16" s="350" customFormat="1" ht="16.5">
      <c r="A78" s="394">
        <v>21</v>
      </c>
      <c r="B78" s="395"/>
      <c r="C78" s="396" t="s">
        <v>271</v>
      </c>
      <c r="D78" s="397" t="s">
        <v>272</v>
      </c>
      <c r="E78" s="398">
        <v>4</v>
      </c>
      <c r="F78" s="389"/>
      <c r="G78" s="389"/>
      <c r="H78" s="399"/>
      <c r="I78" s="399"/>
      <c r="J78" s="399"/>
      <c r="K78" s="393"/>
      <c r="L78" s="400"/>
      <c r="M78" s="400"/>
      <c r="N78" s="393"/>
      <c r="O78" s="393"/>
      <c r="P78" s="393"/>
    </row>
    <row r="79" spans="1:16" s="350" customFormat="1" ht="16.5">
      <c r="A79" s="394">
        <v>22</v>
      </c>
      <c r="B79" s="395"/>
      <c r="C79" s="396" t="s">
        <v>274</v>
      </c>
      <c r="D79" s="397" t="s">
        <v>34</v>
      </c>
      <c r="E79" s="398">
        <v>55.12</v>
      </c>
      <c r="F79" s="389"/>
      <c r="G79" s="389"/>
      <c r="H79" s="399"/>
      <c r="I79" s="391"/>
      <c r="J79" s="401"/>
      <c r="K79" s="400"/>
      <c r="L79" s="400"/>
      <c r="M79" s="400"/>
      <c r="N79" s="393"/>
      <c r="O79" s="393"/>
      <c r="P79" s="393"/>
    </row>
    <row r="80" spans="1:16" s="350" customFormat="1" ht="27">
      <c r="A80" s="394">
        <v>23</v>
      </c>
      <c r="B80" s="395"/>
      <c r="C80" s="396" t="s">
        <v>275</v>
      </c>
      <c r="D80" s="390" t="s">
        <v>276</v>
      </c>
      <c r="E80" s="402">
        <v>11</v>
      </c>
      <c r="F80" s="389"/>
      <c r="G80" s="389"/>
      <c r="H80" s="399"/>
      <c r="I80" s="391"/>
      <c r="J80" s="401"/>
      <c r="K80" s="400"/>
      <c r="L80" s="400"/>
      <c r="M80" s="400"/>
      <c r="N80" s="393"/>
      <c r="O80" s="393"/>
      <c r="P80" s="393"/>
    </row>
    <row r="81" spans="1:16" s="350" customFormat="1" ht="16.5">
      <c r="A81" s="394">
        <v>24</v>
      </c>
      <c r="B81" s="403"/>
      <c r="C81" s="404" t="s">
        <v>277</v>
      </c>
      <c r="D81" s="395" t="s">
        <v>50</v>
      </c>
      <c r="E81" s="405">
        <v>5.67</v>
      </c>
      <c r="F81" s="389"/>
      <c r="G81" s="389"/>
      <c r="H81" s="399"/>
      <c r="I81" s="390"/>
      <c r="J81" s="390"/>
      <c r="K81" s="393"/>
      <c r="L81" s="400"/>
      <c r="M81" s="400"/>
      <c r="N81" s="393"/>
      <c r="O81" s="393"/>
      <c r="P81" s="393"/>
    </row>
    <row r="82" spans="1:16" s="350" customFormat="1" ht="16.5">
      <c r="A82" s="394"/>
      <c r="B82" s="406"/>
      <c r="C82" s="407" t="s">
        <v>278</v>
      </c>
      <c r="D82" s="390" t="s">
        <v>100</v>
      </c>
      <c r="E82" s="408">
        <f>E81/8</f>
        <v>0.7</v>
      </c>
      <c r="F82" s="409"/>
      <c r="G82" s="409"/>
      <c r="H82" s="399"/>
      <c r="I82" s="410"/>
      <c r="J82" s="411"/>
      <c r="K82" s="400"/>
      <c r="L82" s="400"/>
      <c r="M82" s="400"/>
      <c r="N82" s="400"/>
      <c r="O82" s="400"/>
      <c r="P82" s="400"/>
    </row>
    <row r="83" spans="1:16" s="350" customFormat="1" ht="16.5">
      <c r="A83" s="394"/>
      <c r="B83" s="406"/>
      <c r="C83" s="386" t="s">
        <v>279</v>
      </c>
      <c r="D83" s="390"/>
      <c r="E83" s="402"/>
      <c r="F83" s="389"/>
      <c r="G83" s="389"/>
      <c r="H83" s="390"/>
      <c r="I83" s="391"/>
      <c r="J83" s="392"/>
      <c r="K83" s="393"/>
      <c r="L83" s="393"/>
      <c r="M83" s="393"/>
      <c r="N83" s="393"/>
      <c r="O83" s="393"/>
      <c r="P83" s="393"/>
    </row>
    <row r="84" spans="1:16" s="350" customFormat="1" ht="27">
      <c r="A84" s="394">
        <v>26</v>
      </c>
      <c r="B84" s="406"/>
      <c r="C84" s="421" t="s">
        <v>280</v>
      </c>
      <c r="D84" s="390" t="s">
        <v>34</v>
      </c>
      <c r="E84" s="389">
        <v>15.84</v>
      </c>
      <c r="F84" s="389"/>
      <c r="G84" s="389"/>
      <c r="H84" s="399"/>
      <c r="I84" s="391"/>
      <c r="J84" s="401"/>
      <c r="K84" s="400"/>
      <c r="L84" s="400"/>
      <c r="M84" s="400"/>
      <c r="N84" s="393"/>
      <c r="O84" s="393"/>
      <c r="P84" s="393"/>
    </row>
    <row r="85" spans="1:16" s="350" customFormat="1" ht="16.5">
      <c r="A85" s="394"/>
      <c r="B85" s="406"/>
      <c r="C85" s="386" t="s">
        <v>281</v>
      </c>
      <c r="D85" s="390"/>
      <c r="E85" s="402"/>
      <c r="F85" s="389"/>
      <c r="G85" s="389"/>
      <c r="H85" s="390"/>
      <c r="I85" s="391"/>
      <c r="J85" s="392"/>
      <c r="K85" s="393"/>
      <c r="L85" s="393"/>
      <c r="M85" s="393"/>
      <c r="N85" s="393"/>
      <c r="O85" s="393"/>
      <c r="P85" s="393"/>
    </row>
    <row r="86" spans="1:16" s="350" customFormat="1" ht="40.5">
      <c r="A86" s="394">
        <v>27</v>
      </c>
      <c r="B86" s="395"/>
      <c r="C86" s="412" t="s">
        <v>282</v>
      </c>
      <c r="D86" s="395" t="s">
        <v>34</v>
      </c>
      <c r="E86" s="391">
        <v>84.8</v>
      </c>
      <c r="F86" s="389"/>
      <c r="G86" s="389"/>
      <c r="H86" s="399"/>
      <c r="I86" s="390"/>
      <c r="J86" s="390"/>
      <c r="K86" s="393"/>
      <c r="L86" s="400"/>
      <c r="M86" s="400"/>
      <c r="N86" s="393"/>
      <c r="O86" s="393"/>
      <c r="P86" s="393"/>
    </row>
    <row r="87" spans="1:16" s="350" customFormat="1" ht="16.5">
      <c r="A87" s="394"/>
      <c r="B87" s="395"/>
      <c r="C87" s="413" t="s">
        <v>193</v>
      </c>
      <c r="D87" s="395" t="s">
        <v>44</v>
      </c>
      <c r="E87" s="391">
        <f>E86*0.1</f>
        <v>8.48</v>
      </c>
      <c r="F87" s="389"/>
      <c r="G87" s="389"/>
      <c r="H87" s="399"/>
      <c r="I87" s="390"/>
      <c r="J87" s="390"/>
      <c r="K87" s="393"/>
      <c r="L87" s="400"/>
      <c r="M87" s="400"/>
      <c r="N87" s="393"/>
      <c r="O87" s="393"/>
      <c r="P87" s="393"/>
    </row>
    <row r="88" spans="1:16" s="350" customFormat="1" ht="16.5">
      <c r="A88" s="394"/>
      <c r="B88" s="395"/>
      <c r="C88" s="413" t="s">
        <v>283</v>
      </c>
      <c r="D88" s="395" t="s">
        <v>36</v>
      </c>
      <c r="E88" s="391">
        <f>E86*3</f>
        <v>254.4</v>
      </c>
      <c r="F88" s="389"/>
      <c r="G88" s="389"/>
      <c r="H88" s="399"/>
      <c r="I88" s="390"/>
      <c r="J88" s="390"/>
      <c r="K88" s="393"/>
      <c r="L88" s="400"/>
      <c r="M88" s="400"/>
      <c r="N88" s="393"/>
      <c r="O88" s="393"/>
      <c r="P88" s="393"/>
    </row>
    <row r="89" spans="1:16" s="350" customFormat="1" ht="16.5">
      <c r="A89" s="394"/>
      <c r="B89" s="395"/>
      <c r="C89" s="413" t="s">
        <v>284</v>
      </c>
      <c r="D89" s="395" t="s">
        <v>36</v>
      </c>
      <c r="E89" s="414">
        <f>E86*1.2</f>
        <v>102</v>
      </c>
      <c r="F89" s="393"/>
      <c r="G89" s="389"/>
      <c r="H89" s="399"/>
      <c r="I89" s="391"/>
      <c r="J89" s="392"/>
      <c r="K89" s="393"/>
      <c r="L89" s="400"/>
      <c r="M89" s="400"/>
      <c r="N89" s="393"/>
      <c r="O89" s="393"/>
      <c r="P89" s="393"/>
    </row>
    <row r="90" spans="1:16" s="350" customFormat="1" ht="16.5">
      <c r="A90" s="394"/>
      <c r="B90" s="395"/>
      <c r="C90" s="413" t="s">
        <v>285</v>
      </c>
      <c r="D90" s="395" t="s">
        <v>36</v>
      </c>
      <c r="E90" s="414">
        <f>E86*0.7</f>
        <v>59</v>
      </c>
      <c r="F90" s="393"/>
      <c r="G90" s="389"/>
      <c r="H90" s="399"/>
      <c r="I90" s="391"/>
      <c r="J90" s="392"/>
      <c r="K90" s="393"/>
      <c r="L90" s="400"/>
      <c r="M90" s="393"/>
      <c r="N90" s="393"/>
      <c r="O90" s="393"/>
      <c r="P90" s="393"/>
    </row>
    <row r="91" spans="1:16" s="350" customFormat="1" ht="16.5">
      <c r="A91" s="394"/>
      <c r="B91" s="395"/>
      <c r="C91" s="413" t="s">
        <v>286</v>
      </c>
      <c r="D91" s="395" t="s">
        <v>287</v>
      </c>
      <c r="E91" s="414">
        <v>1</v>
      </c>
      <c r="F91" s="393"/>
      <c r="G91" s="389"/>
      <c r="H91" s="399"/>
      <c r="I91" s="391"/>
      <c r="J91" s="392"/>
      <c r="K91" s="393"/>
      <c r="L91" s="400"/>
      <c r="M91" s="393"/>
      <c r="N91" s="393"/>
      <c r="O91" s="393"/>
      <c r="P91" s="393"/>
    </row>
    <row r="92" spans="1:16" s="350" customFormat="1" ht="27">
      <c r="A92" s="394">
        <v>28</v>
      </c>
      <c r="B92" s="395"/>
      <c r="C92" s="412" t="s">
        <v>288</v>
      </c>
      <c r="D92" s="395" t="s">
        <v>34</v>
      </c>
      <c r="E92" s="415">
        <v>84.8</v>
      </c>
      <c r="F92" s="389"/>
      <c r="G92" s="389"/>
      <c r="H92" s="399"/>
      <c r="I92" s="390"/>
      <c r="J92" s="390"/>
      <c r="K92" s="393"/>
      <c r="L92" s="400"/>
      <c r="M92" s="393"/>
      <c r="N92" s="393"/>
      <c r="O92" s="393"/>
      <c r="P92" s="393"/>
    </row>
    <row r="93" spans="1:16" s="350" customFormat="1" ht="16.5">
      <c r="A93" s="394"/>
      <c r="B93" s="395"/>
      <c r="C93" s="413" t="s">
        <v>289</v>
      </c>
      <c r="D93" s="395" t="s">
        <v>44</v>
      </c>
      <c r="E93" s="414">
        <f>E92*0.15</f>
        <v>13</v>
      </c>
      <c r="F93" s="389"/>
      <c r="G93" s="389"/>
      <c r="H93" s="399"/>
      <c r="I93" s="390"/>
      <c r="J93" s="390"/>
      <c r="K93" s="393"/>
      <c r="L93" s="400"/>
      <c r="M93" s="393"/>
      <c r="N93" s="393"/>
      <c r="O93" s="393"/>
      <c r="P93" s="393"/>
    </row>
    <row r="94" spans="1:16" s="350" customFormat="1" ht="16.5">
      <c r="A94" s="394"/>
      <c r="B94" s="395"/>
      <c r="C94" s="413" t="s">
        <v>290</v>
      </c>
      <c r="D94" s="395" t="s">
        <v>44</v>
      </c>
      <c r="E94" s="414">
        <f>E92*0.25</f>
        <v>21</v>
      </c>
      <c r="F94" s="393"/>
      <c r="G94" s="389"/>
      <c r="H94" s="399"/>
      <c r="I94" s="391"/>
      <c r="J94" s="392"/>
      <c r="K94" s="393"/>
      <c r="L94" s="400"/>
      <c r="M94" s="393"/>
      <c r="N94" s="393"/>
      <c r="O94" s="393"/>
      <c r="P94" s="393"/>
    </row>
    <row r="95" spans="1:16" s="350" customFormat="1" ht="16.5">
      <c r="A95" s="394"/>
      <c r="B95" s="395"/>
      <c r="C95" s="413" t="s">
        <v>286</v>
      </c>
      <c r="D95" s="395" t="s">
        <v>287</v>
      </c>
      <c r="E95" s="414">
        <v>1</v>
      </c>
      <c r="F95" s="393"/>
      <c r="G95" s="389"/>
      <c r="H95" s="399"/>
      <c r="I95" s="391"/>
      <c r="J95" s="392"/>
      <c r="K95" s="393"/>
      <c r="L95" s="400"/>
      <c r="M95" s="393"/>
      <c r="N95" s="393"/>
      <c r="O95" s="393"/>
      <c r="P95" s="393"/>
    </row>
    <row r="96" spans="1:16" s="350" customFormat="1" ht="16.5">
      <c r="A96" s="394">
        <v>29</v>
      </c>
      <c r="B96" s="406"/>
      <c r="C96" s="396" t="s">
        <v>291</v>
      </c>
      <c r="D96" s="395" t="s">
        <v>34</v>
      </c>
      <c r="E96" s="405">
        <v>67.93</v>
      </c>
      <c r="F96" s="389"/>
      <c r="G96" s="389"/>
      <c r="H96" s="399"/>
      <c r="I96" s="390"/>
      <c r="J96" s="390"/>
      <c r="K96" s="393"/>
      <c r="L96" s="400"/>
      <c r="M96" s="393"/>
      <c r="N96" s="393"/>
      <c r="O96" s="393"/>
      <c r="P96" s="393"/>
    </row>
    <row r="97" spans="1:16" s="350" customFormat="1" ht="16.5">
      <c r="A97" s="394"/>
      <c r="B97" s="406"/>
      <c r="C97" s="413" t="s">
        <v>141</v>
      </c>
      <c r="D97" s="395" t="s">
        <v>44</v>
      </c>
      <c r="E97" s="405">
        <f>E96*0.1</f>
        <v>6.79</v>
      </c>
      <c r="F97" s="389"/>
      <c r="G97" s="389"/>
      <c r="H97" s="399"/>
      <c r="I97" s="390"/>
      <c r="J97" s="390"/>
      <c r="K97" s="393"/>
      <c r="L97" s="400"/>
      <c r="M97" s="393"/>
      <c r="N97" s="393"/>
      <c r="O97" s="393"/>
      <c r="P97" s="393"/>
    </row>
    <row r="98" spans="1:16" s="350" customFormat="1" ht="16.5">
      <c r="A98" s="394"/>
      <c r="B98" s="403"/>
      <c r="C98" s="413" t="s">
        <v>292</v>
      </c>
      <c r="D98" s="395" t="s">
        <v>36</v>
      </c>
      <c r="E98" s="405">
        <f>E96*4.5</f>
        <v>305.69</v>
      </c>
      <c r="F98" s="389"/>
      <c r="G98" s="389"/>
      <c r="H98" s="399"/>
      <c r="I98" s="390"/>
      <c r="J98" s="390"/>
      <c r="K98" s="393"/>
      <c r="L98" s="400"/>
      <c r="M98" s="393"/>
      <c r="N98" s="393"/>
      <c r="O98" s="393"/>
      <c r="P98" s="393"/>
    </row>
    <row r="99" spans="1:16" s="350" customFormat="1" ht="16.5">
      <c r="A99" s="394"/>
      <c r="B99" s="403"/>
      <c r="C99" s="413" t="s">
        <v>293</v>
      </c>
      <c r="D99" s="395" t="s">
        <v>36</v>
      </c>
      <c r="E99" s="405">
        <f>E96*0.3</f>
        <v>20.38</v>
      </c>
      <c r="F99" s="389"/>
      <c r="G99" s="389"/>
      <c r="H99" s="399"/>
      <c r="I99" s="390"/>
      <c r="J99" s="390"/>
      <c r="K99" s="393"/>
      <c r="L99" s="400"/>
      <c r="M99" s="393"/>
      <c r="N99" s="393"/>
      <c r="O99" s="393"/>
      <c r="P99" s="393"/>
    </row>
    <row r="100" spans="1:16" s="350" customFormat="1" ht="16.5">
      <c r="A100" s="394"/>
      <c r="B100" s="395"/>
      <c r="C100" s="413" t="s">
        <v>294</v>
      </c>
      <c r="D100" s="395" t="s">
        <v>34</v>
      </c>
      <c r="E100" s="405">
        <f>E96*1.25</f>
        <v>84.91</v>
      </c>
      <c r="F100" s="393"/>
      <c r="G100" s="389"/>
      <c r="H100" s="399"/>
      <c r="I100" s="390"/>
      <c r="J100" s="390"/>
      <c r="K100" s="393"/>
      <c r="L100" s="400"/>
      <c r="M100" s="393"/>
      <c r="N100" s="393"/>
      <c r="O100" s="393"/>
      <c r="P100" s="393"/>
    </row>
    <row r="101" spans="1:16" s="350" customFormat="1" ht="16.5">
      <c r="A101" s="394"/>
      <c r="B101" s="395"/>
      <c r="C101" s="413" t="s">
        <v>295</v>
      </c>
      <c r="D101" s="395" t="s">
        <v>287</v>
      </c>
      <c r="E101" s="405">
        <v>1</v>
      </c>
      <c r="F101" s="393"/>
      <c r="G101" s="389"/>
      <c r="H101" s="399"/>
      <c r="I101" s="390"/>
      <c r="J101" s="390"/>
      <c r="K101" s="393"/>
      <c r="L101" s="400"/>
      <c r="M101" s="393"/>
      <c r="N101" s="393"/>
      <c r="O101" s="393"/>
      <c r="P101" s="393"/>
    </row>
    <row r="102" spans="1:16" s="350" customFormat="1" ht="16.5">
      <c r="A102" s="394"/>
      <c r="B102" s="406"/>
      <c r="C102" s="416" t="s">
        <v>302</v>
      </c>
      <c r="D102" s="390"/>
      <c r="E102" s="402"/>
      <c r="F102" s="389"/>
      <c r="G102" s="389"/>
      <c r="H102" s="390"/>
      <c r="I102" s="391"/>
      <c r="J102" s="392"/>
      <c r="K102" s="393"/>
      <c r="L102" s="393"/>
      <c r="M102" s="393"/>
      <c r="N102" s="393"/>
      <c r="O102" s="393"/>
      <c r="P102" s="393"/>
    </row>
    <row r="103" spans="1:16" s="350" customFormat="1" ht="27">
      <c r="A103" s="394">
        <v>30</v>
      </c>
      <c r="B103" s="406"/>
      <c r="C103" s="396" t="s">
        <v>303</v>
      </c>
      <c r="D103" s="390" t="s">
        <v>34</v>
      </c>
      <c r="E103" s="402">
        <v>26.3</v>
      </c>
      <c r="F103" s="389"/>
      <c r="G103" s="389"/>
      <c r="H103" s="399"/>
      <c r="I103" s="390"/>
      <c r="J103" s="390"/>
      <c r="K103" s="393"/>
      <c r="L103" s="400"/>
      <c r="M103" s="393"/>
      <c r="N103" s="393"/>
      <c r="O103" s="393"/>
      <c r="P103" s="393"/>
    </row>
    <row r="104" spans="1:16" s="350" customFormat="1" ht="16.5">
      <c r="A104" s="394"/>
      <c r="B104" s="406"/>
      <c r="C104" s="413" t="s">
        <v>304</v>
      </c>
      <c r="D104" s="390" t="s">
        <v>34</v>
      </c>
      <c r="E104" s="402">
        <f>E103</f>
        <v>26.3</v>
      </c>
      <c r="F104" s="389"/>
      <c r="G104" s="389"/>
      <c r="H104" s="399"/>
      <c r="I104" s="390"/>
      <c r="J104" s="390"/>
      <c r="K104" s="393"/>
      <c r="L104" s="400"/>
      <c r="M104" s="393"/>
      <c r="N104" s="393"/>
      <c r="O104" s="393"/>
      <c r="P104" s="393"/>
    </row>
    <row r="105" spans="1:16" s="350" customFormat="1" ht="16.5">
      <c r="A105" s="394"/>
      <c r="B105" s="406"/>
      <c r="C105" s="413" t="s">
        <v>305</v>
      </c>
      <c r="D105" s="390" t="s">
        <v>34</v>
      </c>
      <c r="E105" s="402">
        <f>E103*1.15</f>
        <v>30.25</v>
      </c>
      <c r="F105" s="389"/>
      <c r="G105" s="389"/>
      <c r="H105" s="399"/>
      <c r="I105" s="390"/>
      <c r="J105" s="390"/>
      <c r="K105" s="393"/>
      <c r="L105" s="400"/>
      <c r="M105" s="393"/>
      <c r="N105" s="393"/>
      <c r="O105" s="393"/>
      <c r="P105" s="393"/>
    </row>
    <row r="106" spans="1:16" s="350" customFormat="1" ht="16.5">
      <c r="A106" s="394"/>
      <c r="B106" s="395"/>
      <c r="C106" s="413" t="s">
        <v>286</v>
      </c>
      <c r="D106" s="395" t="s">
        <v>287</v>
      </c>
      <c r="E106" s="414">
        <v>1</v>
      </c>
      <c r="F106" s="393"/>
      <c r="G106" s="389"/>
      <c r="H106" s="399"/>
      <c r="I106" s="391"/>
      <c r="J106" s="392"/>
      <c r="K106" s="393"/>
      <c r="L106" s="400"/>
      <c r="M106" s="393"/>
      <c r="N106" s="393"/>
      <c r="O106" s="393"/>
      <c r="P106" s="393"/>
    </row>
    <row r="107" spans="1:16" s="350" customFormat="1" ht="16.5">
      <c r="A107" s="394"/>
      <c r="B107" s="403"/>
      <c r="C107" s="416" t="s">
        <v>0</v>
      </c>
      <c r="D107" s="390"/>
      <c r="E107" s="402"/>
      <c r="F107" s="389"/>
      <c r="G107" s="389"/>
      <c r="H107" s="390"/>
      <c r="I107" s="390"/>
      <c r="J107" s="390"/>
      <c r="K107" s="393"/>
      <c r="L107" s="393"/>
      <c r="M107" s="393"/>
      <c r="N107" s="393"/>
      <c r="O107" s="393"/>
      <c r="P107" s="393"/>
    </row>
    <row r="108" spans="1:16" s="350" customFormat="1" ht="27">
      <c r="A108" s="394">
        <v>31</v>
      </c>
      <c r="B108" s="403"/>
      <c r="C108" s="412" t="s">
        <v>331</v>
      </c>
      <c r="D108" s="395" t="s">
        <v>272</v>
      </c>
      <c r="E108" s="414">
        <v>4</v>
      </c>
      <c r="F108" s="389"/>
      <c r="G108" s="389"/>
      <c r="H108" s="399"/>
      <c r="I108" s="390"/>
      <c r="J108" s="390"/>
      <c r="K108" s="393"/>
      <c r="L108" s="400"/>
      <c r="M108" s="393"/>
      <c r="N108" s="393"/>
      <c r="O108" s="393"/>
      <c r="P108" s="393"/>
    </row>
    <row r="109" spans="1:16" s="350" customFormat="1" ht="16.5">
      <c r="A109" s="394"/>
      <c r="B109" s="403"/>
      <c r="C109" s="413" t="s">
        <v>307</v>
      </c>
      <c r="D109" s="395" t="s">
        <v>272</v>
      </c>
      <c r="E109" s="414">
        <f>E108</f>
        <v>4</v>
      </c>
      <c r="F109" s="389"/>
      <c r="G109" s="389"/>
      <c r="H109" s="399"/>
      <c r="I109" s="393"/>
      <c r="J109" s="390"/>
      <c r="K109" s="393"/>
      <c r="L109" s="400"/>
      <c r="M109" s="393"/>
      <c r="N109" s="393"/>
      <c r="O109" s="393"/>
      <c r="P109" s="393"/>
    </row>
    <row r="110" spans="1:16" s="350" customFormat="1" ht="16.5">
      <c r="A110" s="394"/>
      <c r="B110" s="403"/>
      <c r="C110" s="413" t="s">
        <v>308</v>
      </c>
      <c r="D110" s="390" t="s">
        <v>287</v>
      </c>
      <c r="E110" s="420">
        <v>1</v>
      </c>
      <c r="F110" s="389"/>
      <c r="G110" s="389"/>
      <c r="H110" s="399"/>
      <c r="I110" s="391"/>
      <c r="J110" s="392"/>
      <c r="K110" s="393"/>
      <c r="L110" s="400"/>
      <c r="M110" s="393"/>
      <c r="N110" s="393"/>
      <c r="O110" s="393"/>
      <c r="P110" s="393"/>
    </row>
    <row r="111" spans="1:16" s="350" customFormat="1" ht="16.5">
      <c r="A111" s="394"/>
      <c r="B111" s="406"/>
      <c r="C111" s="416" t="s">
        <v>309</v>
      </c>
      <c r="D111" s="390"/>
      <c r="E111" s="402"/>
      <c r="F111" s="389"/>
      <c r="G111" s="389"/>
      <c r="H111" s="390"/>
      <c r="I111" s="391"/>
      <c r="J111" s="392"/>
      <c r="K111" s="393"/>
      <c r="L111" s="393"/>
      <c r="M111" s="393"/>
      <c r="N111" s="393"/>
      <c r="O111" s="393"/>
      <c r="P111" s="393"/>
    </row>
    <row r="112" spans="1:16" s="350" customFormat="1" ht="40.5">
      <c r="A112" s="394">
        <v>32</v>
      </c>
      <c r="B112" s="406"/>
      <c r="C112" s="396" t="s">
        <v>310</v>
      </c>
      <c r="D112" s="390" t="s">
        <v>287</v>
      </c>
      <c r="E112" s="420">
        <v>1</v>
      </c>
      <c r="F112" s="389"/>
      <c r="G112" s="389"/>
      <c r="H112" s="399"/>
      <c r="I112" s="390"/>
      <c r="J112" s="390"/>
      <c r="K112" s="393"/>
      <c r="L112" s="400"/>
      <c r="M112" s="393"/>
      <c r="N112" s="393"/>
      <c r="O112" s="393"/>
      <c r="P112" s="393"/>
    </row>
    <row r="113" spans="1:16" s="350" customFormat="1" ht="16.5">
      <c r="A113" s="394"/>
      <c r="B113" s="406"/>
      <c r="C113" s="416" t="s">
        <v>311</v>
      </c>
      <c r="D113" s="390"/>
      <c r="E113" s="420"/>
      <c r="F113" s="389"/>
      <c r="G113" s="389"/>
      <c r="H113" s="399"/>
      <c r="I113" s="390"/>
      <c r="J113" s="390"/>
      <c r="K113" s="393"/>
      <c r="L113" s="400"/>
      <c r="M113" s="393"/>
      <c r="N113" s="393"/>
      <c r="O113" s="393"/>
      <c r="P113" s="393"/>
    </row>
    <row r="114" spans="1:16" s="350" customFormat="1" ht="27">
      <c r="A114" s="394">
        <v>33</v>
      </c>
      <c r="B114" s="406"/>
      <c r="C114" s="412" t="s">
        <v>312</v>
      </c>
      <c r="D114" s="390" t="s">
        <v>287</v>
      </c>
      <c r="E114" s="420">
        <v>1</v>
      </c>
      <c r="F114" s="389"/>
      <c r="G114" s="389"/>
      <c r="H114" s="399"/>
      <c r="I114" s="390"/>
      <c r="J114" s="390"/>
      <c r="K114" s="393"/>
      <c r="L114" s="400"/>
      <c r="M114" s="393"/>
      <c r="N114" s="393"/>
      <c r="O114" s="393"/>
      <c r="P114" s="393"/>
    </row>
    <row r="115" spans="1:16" s="350" customFormat="1" ht="16.5">
      <c r="A115" s="394"/>
      <c r="B115" s="406"/>
      <c r="C115" s="416" t="s">
        <v>313</v>
      </c>
      <c r="D115" s="390"/>
      <c r="E115" s="420"/>
      <c r="F115" s="389"/>
      <c r="G115" s="389"/>
      <c r="H115" s="390"/>
      <c r="I115" s="390"/>
      <c r="J115" s="390"/>
      <c r="K115" s="393"/>
      <c r="L115" s="393"/>
      <c r="M115" s="393"/>
      <c r="N115" s="393"/>
      <c r="O115" s="393"/>
      <c r="P115" s="393"/>
    </row>
    <row r="116" spans="1:16" s="350" customFormat="1" ht="27">
      <c r="A116" s="394">
        <v>34</v>
      </c>
      <c r="B116" s="406"/>
      <c r="C116" s="396" t="s">
        <v>314</v>
      </c>
      <c r="D116" s="390" t="s">
        <v>287</v>
      </c>
      <c r="E116" s="420">
        <v>8</v>
      </c>
      <c r="F116" s="389"/>
      <c r="G116" s="389"/>
      <c r="H116" s="399"/>
      <c r="I116" s="390"/>
      <c r="J116" s="390"/>
      <c r="K116" s="393"/>
      <c r="L116" s="400"/>
      <c r="M116" s="393"/>
      <c r="N116" s="393"/>
      <c r="O116" s="393"/>
      <c r="P116" s="393"/>
    </row>
    <row r="117" spans="1:16" s="350" customFormat="1" ht="27">
      <c r="A117" s="394">
        <v>35</v>
      </c>
      <c r="B117" s="406"/>
      <c r="C117" s="396" t="s">
        <v>315</v>
      </c>
      <c r="D117" s="390" t="s">
        <v>100</v>
      </c>
      <c r="E117" s="420">
        <v>4</v>
      </c>
      <c r="F117" s="389"/>
      <c r="G117" s="389"/>
      <c r="H117" s="399"/>
      <c r="I117" s="390"/>
      <c r="J117" s="390"/>
      <c r="K117" s="393"/>
      <c r="L117" s="400"/>
      <c r="M117" s="393"/>
      <c r="N117" s="393"/>
      <c r="O117" s="393"/>
      <c r="P117" s="393"/>
    </row>
    <row r="118" spans="1:16" s="350" customFormat="1" ht="16.5">
      <c r="A118" s="394"/>
      <c r="B118" s="406"/>
      <c r="C118" s="413" t="s">
        <v>316</v>
      </c>
      <c r="D118" s="390" t="s">
        <v>100</v>
      </c>
      <c r="E118" s="420">
        <f>E117</f>
        <v>4</v>
      </c>
      <c r="F118" s="393"/>
      <c r="G118" s="389"/>
      <c r="H118" s="399"/>
      <c r="I118" s="391"/>
      <c r="J118" s="392"/>
      <c r="K118" s="393"/>
      <c r="L118" s="400"/>
      <c r="M118" s="393"/>
      <c r="N118" s="393"/>
      <c r="O118" s="393"/>
      <c r="P118" s="393"/>
    </row>
    <row r="119" spans="1:16" s="350" customFormat="1" ht="16.5">
      <c r="A119" s="394"/>
      <c r="B119" s="406"/>
      <c r="C119" s="413" t="s">
        <v>317</v>
      </c>
      <c r="D119" s="390" t="s">
        <v>287</v>
      </c>
      <c r="E119" s="420">
        <v>1</v>
      </c>
      <c r="F119" s="393"/>
      <c r="G119" s="389"/>
      <c r="H119" s="399"/>
      <c r="I119" s="391"/>
      <c r="J119" s="392"/>
      <c r="K119" s="393"/>
      <c r="L119" s="400"/>
      <c r="M119" s="393"/>
      <c r="N119" s="393"/>
      <c r="O119" s="393"/>
      <c r="P119" s="393"/>
    </row>
    <row r="120" spans="1:16" s="350" customFormat="1" ht="16.5">
      <c r="A120" s="394">
        <v>36</v>
      </c>
      <c r="B120" s="406"/>
      <c r="C120" s="396" t="s">
        <v>318</v>
      </c>
      <c r="D120" s="390" t="s">
        <v>100</v>
      </c>
      <c r="E120" s="420">
        <v>4</v>
      </c>
      <c r="F120" s="389"/>
      <c r="G120" s="389"/>
      <c r="H120" s="399"/>
      <c r="I120" s="390"/>
      <c r="J120" s="390"/>
      <c r="K120" s="393"/>
      <c r="L120" s="400"/>
      <c r="M120" s="393"/>
      <c r="N120" s="393"/>
      <c r="O120" s="393"/>
      <c r="P120" s="393"/>
    </row>
    <row r="121" spans="1:16" s="350" customFormat="1" ht="16.5">
      <c r="A121" s="394"/>
      <c r="B121" s="406"/>
      <c r="C121" s="413" t="s">
        <v>319</v>
      </c>
      <c r="D121" s="390" t="s">
        <v>100</v>
      </c>
      <c r="E121" s="420">
        <f>E120</f>
        <v>4</v>
      </c>
      <c r="F121" s="393"/>
      <c r="G121" s="389"/>
      <c r="H121" s="399"/>
      <c r="I121" s="391"/>
      <c r="J121" s="392"/>
      <c r="K121" s="393"/>
      <c r="L121" s="400"/>
      <c r="M121" s="393"/>
      <c r="N121" s="393"/>
      <c r="O121" s="393"/>
      <c r="P121" s="393"/>
    </row>
    <row r="122" spans="1:16" s="350" customFormat="1" ht="16.5">
      <c r="A122" s="394"/>
      <c r="B122" s="406"/>
      <c r="C122" s="413" t="s">
        <v>317</v>
      </c>
      <c r="D122" s="390" t="s">
        <v>287</v>
      </c>
      <c r="E122" s="420">
        <v>1</v>
      </c>
      <c r="F122" s="393"/>
      <c r="G122" s="389"/>
      <c r="H122" s="399"/>
      <c r="I122" s="391"/>
      <c r="J122" s="392"/>
      <c r="K122" s="393"/>
      <c r="L122" s="400"/>
      <c r="M122" s="393"/>
      <c r="N122" s="393"/>
      <c r="O122" s="393"/>
      <c r="P122" s="393"/>
    </row>
    <row r="123" spans="1:16" s="350" customFormat="1" ht="16.5">
      <c r="A123" s="394"/>
      <c r="B123" s="406"/>
      <c r="C123" s="416" t="s">
        <v>320</v>
      </c>
      <c r="D123" s="390"/>
      <c r="E123" s="402"/>
      <c r="F123" s="389"/>
      <c r="G123" s="389"/>
      <c r="H123" s="390"/>
      <c r="I123" s="391"/>
      <c r="J123" s="392"/>
      <c r="K123" s="393"/>
      <c r="L123" s="393"/>
      <c r="M123" s="393"/>
      <c r="N123" s="393"/>
      <c r="O123" s="393"/>
      <c r="P123" s="393"/>
    </row>
    <row r="124" spans="1:16" s="350" customFormat="1" ht="40.5">
      <c r="A124" s="394">
        <v>37</v>
      </c>
      <c r="B124" s="406"/>
      <c r="C124" s="412" t="s">
        <v>321</v>
      </c>
      <c r="D124" s="390" t="s">
        <v>287</v>
      </c>
      <c r="E124" s="420">
        <v>1</v>
      </c>
      <c r="F124" s="389"/>
      <c r="G124" s="389"/>
      <c r="H124" s="399"/>
      <c r="I124" s="390"/>
      <c r="J124" s="390"/>
      <c r="K124" s="393"/>
      <c r="L124" s="400"/>
      <c r="M124" s="393"/>
      <c r="N124" s="393"/>
      <c r="O124" s="393"/>
      <c r="P124" s="393"/>
    </row>
    <row r="125" spans="1:16" s="350" customFormat="1" ht="16.5">
      <c r="A125" s="382"/>
      <c r="B125" s="382"/>
      <c r="C125" s="383" t="s">
        <v>328</v>
      </c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</row>
    <row r="126" spans="1:16" s="350" customFormat="1" ht="16.5">
      <c r="A126" s="384"/>
      <c r="B126" s="385"/>
      <c r="C126" s="386" t="s">
        <v>269</v>
      </c>
      <c r="D126" s="387"/>
      <c r="E126" s="388"/>
      <c r="F126" s="389"/>
      <c r="G126" s="389"/>
      <c r="H126" s="390"/>
      <c r="I126" s="391"/>
      <c r="J126" s="392"/>
      <c r="K126" s="393"/>
      <c r="L126" s="393"/>
      <c r="M126" s="393"/>
      <c r="N126" s="393"/>
      <c r="O126" s="393"/>
      <c r="P126" s="393"/>
    </row>
    <row r="127" spans="1:16" s="350" customFormat="1" ht="27">
      <c r="A127" s="394">
        <v>38</v>
      </c>
      <c r="B127" s="395"/>
      <c r="C127" s="396" t="s">
        <v>270</v>
      </c>
      <c r="D127" s="397" t="s">
        <v>34</v>
      </c>
      <c r="E127" s="398">
        <v>15.84</v>
      </c>
      <c r="F127" s="389"/>
      <c r="G127" s="389"/>
      <c r="H127" s="399"/>
      <c r="I127" s="390"/>
      <c r="J127" s="390"/>
      <c r="K127" s="393"/>
      <c r="L127" s="400"/>
      <c r="M127" s="400"/>
      <c r="N127" s="393"/>
      <c r="O127" s="393"/>
      <c r="P127" s="393"/>
    </row>
    <row r="128" spans="1:16" s="350" customFormat="1" ht="16.5">
      <c r="A128" s="394">
        <v>39</v>
      </c>
      <c r="B128" s="395"/>
      <c r="C128" s="396" t="s">
        <v>271</v>
      </c>
      <c r="D128" s="397" t="s">
        <v>272</v>
      </c>
      <c r="E128" s="398">
        <v>5</v>
      </c>
      <c r="F128" s="389"/>
      <c r="G128" s="389"/>
      <c r="H128" s="399"/>
      <c r="I128" s="399"/>
      <c r="J128" s="399"/>
      <c r="K128" s="393"/>
      <c r="L128" s="400"/>
      <c r="M128" s="400"/>
      <c r="N128" s="393"/>
      <c r="O128" s="393"/>
      <c r="P128" s="393"/>
    </row>
    <row r="129" spans="1:16" s="350" customFormat="1" ht="16.5">
      <c r="A129" s="394">
        <v>40</v>
      </c>
      <c r="B129" s="395"/>
      <c r="C129" s="396" t="s">
        <v>273</v>
      </c>
      <c r="D129" s="397" t="s">
        <v>34</v>
      </c>
      <c r="E129" s="398">
        <v>25.9</v>
      </c>
      <c r="F129" s="389"/>
      <c r="G129" s="389"/>
      <c r="H129" s="399"/>
      <c r="I129" s="391"/>
      <c r="J129" s="401"/>
      <c r="K129" s="400"/>
      <c r="L129" s="400"/>
      <c r="M129" s="400"/>
      <c r="N129" s="393"/>
      <c r="O129" s="393"/>
      <c r="P129" s="393"/>
    </row>
    <row r="130" spans="1:16" s="350" customFormat="1" ht="16.5">
      <c r="A130" s="394">
        <v>41</v>
      </c>
      <c r="B130" s="395"/>
      <c r="C130" s="396" t="s">
        <v>274</v>
      </c>
      <c r="D130" s="397" t="s">
        <v>34</v>
      </c>
      <c r="E130" s="398">
        <v>59.75</v>
      </c>
      <c r="F130" s="389"/>
      <c r="G130" s="389"/>
      <c r="H130" s="399"/>
      <c r="I130" s="391"/>
      <c r="J130" s="401"/>
      <c r="K130" s="400"/>
      <c r="L130" s="400"/>
      <c r="M130" s="400"/>
      <c r="N130" s="393"/>
      <c r="O130" s="393"/>
      <c r="P130" s="393"/>
    </row>
    <row r="131" spans="1:16" s="350" customFormat="1" ht="27">
      <c r="A131" s="394">
        <v>42</v>
      </c>
      <c r="B131" s="395"/>
      <c r="C131" s="396" t="s">
        <v>275</v>
      </c>
      <c r="D131" s="390" t="s">
        <v>276</v>
      </c>
      <c r="E131" s="402">
        <v>12</v>
      </c>
      <c r="F131" s="389"/>
      <c r="G131" s="389"/>
      <c r="H131" s="399"/>
      <c r="I131" s="391"/>
      <c r="J131" s="401"/>
      <c r="K131" s="400"/>
      <c r="L131" s="400"/>
      <c r="M131" s="400"/>
      <c r="N131" s="393"/>
      <c r="O131" s="393"/>
      <c r="P131" s="393"/>
    </row>
    <row r="132" spans="1:16" s="350" customFormat="1" ht="16.5">
      <c r="A132" s="394">
        <v>43</v>
      </c>
      <c r="B132" s="403"/>
      <c r="C132" s="404" t="s">
        <v>277</v>
      </c>
      <c r="D132" s="395" t="s">
        <v>50</v>
      </c>
      <c r="E132" s="405">
        <f>10.45</f>
        <v>10.45</v>
      </c>
      <c r="F132" s="389"/>
      <c r="G132" s="389"/>
      <c r="H132" s="399"/>
      <c r="I132" s="390"/>
      <c r="J132" s="390"/>
      <c r="K132" s="393"/>
      <c r="L132" s="400"/>
      <c r="M132" s="400"/>
      <c r="N132" s="393"/>
      <c r="O132" s="393"/>
      <c r="P132" s="393"/>
    </row>
    <row r="133" spans="1:16" s="350" customFormat="1" ht="16.5">
      <c r="A133" s="394"/>
      <c r="B133" s="406"/>
      <c r="C133" s="407" t="s">
        <v>278</v>
      </c>
      <c r="D133" s="390" t="s">
        <v>100</v>
      </c>
      <c r="E133" s="408">
        <f>E132/8</f>
        <v>1.3</v>
      </c>
      <c r="F133" s="409"/>
      <c r="G133" s="409"/>
      <c r="H133" s="399"/>
      <c r="I133" s="410"/>
      <c r="J133" s="411"/>
      <c r="K133" s="400"/>
      <c r="L133" s="400"/>
      <c r="M133" s="400"/>
      <c r="N133" s="400"/>
      <c r="O133" s="400"/>
      <c r="P133" s="400"/>
    </row>
    <row r="134" spans="1:16" s="350" customFormat="1" ht="16.5">
      <c r="A134" s="394"/>
      <c r="B134" s="406"/>
      <c r="C134" s="386" t="s">
        <v>279</v>
      </c>
      <c r="D134" s="390"/>
      <c r="E134" s="402"/>
      <c r="F134" s="389"/>
      <c r="G134" s="389"/>
      <c r="H134" s="390"/>
      <c r="I134" s="391"/>
      <c r="J134" s="392"/>
      <c r="K134" s="393"/>
      <c r="L134" s="393"/>
      <c r="M134" s="393"/>
      <c r="N134" s="393"/>
      <c r="O134" s="393"/>
      <c r="P134" s="393"/>
    </row>
    <row r="135" spans="1:16" s="350" customFormat="1" ht="27">
      <c r="A135" s="394">
        <v>44</v>
      </c>
      <c r="B135" s="406"/>
      <c r="C135" s="421" t="s">
        <v>280</v>
      </c>
      <c r="D135" s="390" t="s">
        <v>34</v>
      </c>
      <c r="E135" s="389">
        <v>15.84</v>
      </c>
      <c r="F135" s="389"/>
      <c r="G135" s="389"/>
      <c r="H135" s="399"/>
      <c r="I135" s="391"/>
      <c r="J135" s="401"/>
      <c r="K135" s="400"/>
      <c r="L135" s="400"/>
      <c r="M135" s="400"/>
      <c r="N135" s="393"/>
      <c r="O135" s="393"/>
      <c r="P135" s="393"/>
    </row>
    <row r="136" spans="1:16" s="350" customFormat="1" ht="16.5">
      <c r="A136" s="394"/>
      <c r="B136" s="406"/>
      <c r="C136" s="386" t="s">
        <v>281</v>
      </c>
      <c r="D136" s="390"/>
      <c r="E136" s="402"/>
      <c r="F136" s="389"/>
      <c r="G136" s="389"/>
      <c r="H136" s="390"/>
      <c r="I136" s="391"/>
      <c r="J136" s="392"/>
      <c r="K136" s="393"/>
      <c r="L136" s="393"/>
      <c r="M136" s="393"/>
      <c r="N136" s="393"/>
      <c r="O136" s="393"/>
      <c r="P136" s="393"/>
    </row>
    <row r="137" spans="1:16" s="350" customFormat="1" ht="40.5">
      <c r="A137" s="394">
        <v>45</v>
      </c>
      <c r="B137" s="395"/>
      <c r="C137" s="412" t="s">
        <v>282</v>
      </c>
      <c r="D137" s="395" t="s">
        <v>34</v>
      </c>
      <c r="E137" s="391">
        <v>97.92</v>
      </c>
      <c r="F137" s="389"/>
      <c r="G137" s="389"/>
      <c r="H137" s="399"/>
      <c r="I137" s="390"/>
      <c r="J137" s="390"/>
      <c r="K137" s="393"/>
      <c r="L137" s="400"/>
      <c r="M137" s="400"/>
      <c r="N137" s="393"/>
      <c r="O137" s="393"/>
      <c r="P137" s="393"/>
    </row>
    <row r="138" spans="1:16" s="350" customFormat="1" ht="16.5">
      <c r="A138" s="394"/>
      <c r="B138" s="395"/>
      <c r="C138" s="413" t="s">
        <v>193</v>
      </c>
      <c r="D138" s="395" t="s">
        <v>44</v>
      </c>
      <c r="E138" s="391">
        <f>E137*0.1</f>
        <v>9.79</v>
      </c>
      <c r="F138" s="389"/>
      <c r="G138" s="389"/>
      <c r="H138" s="399"/>
      <c r="I138" s="390"/>
      <c r="J138" s="390"/>
      <c r="K138" s="393"/>
      <c r="L138" s="400"/>
      <c r="M138" s="400"/>
      <c r="N138" s="393"/>
      <c r="O138" s="393"/>
      <c r="P138" s="393"/>
    </row>
    <row r="139" spans="1:16" s="350" customFormat="1" ht="16.5">
      <c r="A139" s="394"/>
      <c r="B139" s="395"/>
      <c r="C139" s="413" t="s">
        <v>283</v>
      </c>
      <c r="D139" s="395" t="s">
        <v>36</v>
      </c>
      <c r="E139" s="391">
        <f>E137*3</f>
        <v>293.76</v>
      </c>
      <c r="F139" s="389"/>
      <c r="G139" s="389"/>
      <c r="H139" s="399"/>
      <c r="I139" s="390"/>
      <c r="J139" s="390"/>
      <c r="K139" s="393"/>
      <c r="L139" s="400"/>
      <c r="M139" s="400"/>
      <c r="N139" s="393"/>
      <c r="O139" s="393"/>
      <c r="P139" s="393"/>
    </row>
    <row r="140" spans="1:16" s="350" customFormat="1" ht="16.5">
      <c r="A140" s="394"/>
      <c r="B140" s="395"/>
      <c r="C140" s="413" t="s">
        <v>284</v>
      </c>
      <c r="D140" s="395" t="s">
        <v>36</v>
      </c>
      <c r="E140" s="414">
        <f>E137*1.2</f>
        <v>118</v>
      </c>
      <c r="F140" s="393"/>
      <c r="G140" s="389"/>
      <c r="H140" s="399"/>
      <c r="I140" s="391"/>
      <c r="J140" s="392"/>
      <c r="K140" s="393"/>
      <c r="L140" s="400"/>
      <c r="M140" s="400"/>
      <c r="N140" s="393"/>
      <c r="O140" s="393"/>
      <c r="P140" s="393"/>
    </row>
    <row r="141" spans="1:16" s="350" customFormat="1" ht="16.5">
      <c r="A141" s="394"/>
      <c r="B141" s="395"/>
      <c r="C141" s="413" t="s">
        <v>285</v>
      </c>
      <c r="D141" s="395" t="s">
        <v>36</v>
      </c>
      <c r="E141" s="414">
        <f>E137*0.7</f>
        <v>69</v>
      </c>
      <c r="F141" s="393"/>
      <c r="G141" s="389"/>
      <c r="H141" s="399"/>
      <c r="I141" s="391"/>
      <c r="J141" s="392"/>
      <c r="K141" s="393"/>
      <c r="L141" s="400"/>
      <c r="M141" s="393"/>
      <c r="N141" s="393"/>
      <c r="O141" s="393"/>
      <c r="P141" s="393"/>
    </row>
    <row r="142" spans="1:16" s="350" customFormat="1" ht="16.5">
      <c r="A142" s="394"/>
      <c r="B142" s="395"/>
      <c r="C142" s="413" t="s">
        <v>286</v>
      </c>
      <c r="D142" s="395" t="s">
        <v>287</v>
      </c>
      <c r="E142" s="414">
        <v>1</v>
      </c>
      <c r="F142" s="393"/>
      <c r="G142" s="389"/>
      <c r="H142" s="399"/>
      <c r="I142" s="391"/>
      <c r="J142" s="392"/>
      <c r="K142" s="393"/>
      <c r="L142" s="400"/>
      <c r="M142" s="393"/>
      <c r="N142" s="393"/>
      <c r="O142" s="393"/>
      <c r="P142" s="393"/>
    </row>
    <row r="143" spans="1:16" s="350" customFormat="1" ht="27">
      <c r="A143" s="394">
        <v>46</v>
      </c>
      <c r="B143" s="395"/>
      <c r="C143" s="412" t="s">
        <v>288</v>
      </c>
      <c r="D143" s="395" t="s">
        <v>34</v>
      </c>
      <c r="E143" s="415">
        <v>97.9</v>
      </c>
      <c r="F143" s="389"/>
      <c r="G143" s="389"/>
      <c r="H143" s="399"/>
      <c r="I143" s="390"/>
      <c r="J143" s="390"/>
      <c r="K143" s="393"/>
      <c r="L143" s="400"/>
      <c r="M143" s="393"/>
      <c r="N143" s="393"/>
      <c r="O143" s="393"/>
      <c r="P143" s="393"/>
    </row>
    <row r="144" spans="1:16" s="350" customFormat="1" ht="16.5">
      <c r="A144" s="394"/>
      <c r="B144" s="395"/>
      <c r="C144" s="413" t="s">
        <v>289</v>
      </c>
      <c r="D144" s="395" t="s">
        <v>44</v>
      </c>
      <c r="E144" s="414">
        <f>E143*0.15</f>
        <v>15</v>
      </c>
      <c r="F144" s="389"/>
      <c r="G144" s="389"/>
      <c r="H144" s="399"/>
      <c r="I144" s="390"/>
      <c r="J144" s="390"/>
      <c r="K144" s="393"/>
      <c r="L144" s="400"/>
      <c r="M144" s="393"/>
      <c r="N144" s="393"/>
      <c r="O144" s="393"/>
      <c r="P144" s="393"/>
    </row>
    <row r="145" spans="1:16" s="350" customFormat="1" ht="16.5">
      <c r="A145" s="394"/>
      <c r="B145" s="395"/>
      <c r="C145" s="413" t="s">
        <v>290</v>
      </c>
      <c r="D145" s="395" t="s">
        <v>44</v>
      </c>
      <c r="E145" s="414">
        <f>E143*0.25</f>
        <v>24</v>
      </c>
      <c r="F145" s="393"/>
      <c r="G145" s="389"/>
      <c r="H145" s="399"/>
      <c r="I145" s="391"/>
      <c r="J145" s="392"/>
      <c r="K145" s="393"/>
      <c r="L145" s="400"/>
      <c r="M145" s="393"/>
      <c r="N145" s="393"/>
      <c r="O145" s="393"/>
      <c r="P145" s="393"/>
    </row>
    <row r="146" spans="1:16" s="350" customFormat="1" ht="16.5">
      <c r="A146" s="394"/>
      <c r="B146" s="395"/>
      <c r="C146" s="413" t="s">
        <v>286</v>
      </c>
      <c r="D146" s="395" t="s">
        <v>287</v>
      </c>
      <c r="E146" s="414">
        <v>1</v>
      </c>
      <c r="F146" s="393"/>
      <c r="G146" s="389"/>
      <c r="H146" s="399"/>
      <c r="I146" s="391"/>
      <c r="J146" s="392"/>
      <c r="K146" s="393"/>
      <c r="L146" s="400"/>
      <c r="M146" s="393"/>
      <c r="N146" s="393"/>
      <c r="O146" s="393"/>
      <c r="P146" s="393"/>
    </row>
    <row r="147" spans="1:16" s="350" customFormat="1" ht="16.5">
      <c r="A147" s="394">
        <v>47</v>
      </c>
      <c r="B147" s="406"/>
      <c r="C147" s="396" t="s">
        <v>291</v>
      </c>
      <c r="D147" s="395" t="s">
        <v>34</v>
      </c>
      <c r="E147" s="405">
        <v>73.54</v>
      </c>
      <c r="F147" s="389"/>
      <c r="G147" s="389"/>
      <c r="H147" s="399"/>
      <c r="I147" s="390"/>
      <c r="J147" s="390"/>
      <c r="K147" s="393"/>
      <c r="L147" s="400"/>
      <c r="M147" s="393"/>
      <c r="N147" s="393"/>
      <c r="O147" s="393"/>
      <c r="P147" s="393"/>
    </row>
    <row r="148" spans="1:16" s="350" customFormat="1" ht="16.5">
      <c r="A148" s="394"/>
      <c r="B148" s="406"/>
      <c r="C148" s="413" t="s">
        <v>141</v>
      </c>
      <c r="D148" s="395" t="s">
        <v>44</v>
      </c>
      <c r="E148" s="405">
        <f>E147*0.1</f>
        <v>7.35</v>
      </c>
      <c r="F148" s="389"/>
      <c r="G148" s="389"/>
      <c r="H148" s="399"/>
      <c r="I148" s="390"/>
      <c r="J148" s="390"/>
      <c r="K148" s="393"/>
      <c r="L148" s="400"/>
      <c r="M148" s="393"/>
      <c r="N148" s="393"/>
      <c r="O148" s="393"/>
      <c r="P148" s="393"/>
    </row>
    <row r="149" spans="1:16" s="350" customFormat="1" ht="16.5">
      <c r="A149" s="394"/>
      <c r="B149" s="403"/>
      <c r="C149" s="413" t="s">
        <v>292</v>
      </c>
      <c r="D149" s="395" t="s">
        <v>36</v>
      </c>
      <c r="E149" s="405">
        <f>E147*4.5</f>
        <v>330.93</v>
      </c>
      <c r="F149" s="389"/>
      <c r="G149" s="389"/>
      <c r="H149" s="399"/>
      <c r="I149" s="390"/>
      <c r="J149" s="390"/>
      <c r="K149" s="393"/>
      <c r="L149" s="400"/>
      <c r="M149" s="393"/>
      <c r="N149" s="393"/>
      <c r="O149" s="393"/>
      <c r="P149" s="393"/>
    </row>
    <row r="150" spans="1:16" s="350" customFormat="1" ht="16.5">
      <c r="A150" s="394"/>
      <c r="B150" s="403"/>
      <c r="C150" s="413" t="s">
        <v>293</v>
      </c>
      <c r="D150" s="395" t="s">
        <v>36</v>
      </c>
      <c r="E150" s="405">
        <f>E147*0.3</f>
        <v>22.06</v>
      </c>
      <c r="F150" s="389"/>
      <c r="G150" s="389"/>
      <c r="H150" s="399"/>
      <c r="I150" s="390"/>
      <c r="J150" s="390"/>
      <c r="K150" s="393"/>
      <c r="L150" s="400"/>
      <c r="M150" s="393"/>
      <c r="N150" s="393"/>
      <c r="O150" s="393"/>
      <c r="P150" s="393"/>
    </row>
    <row r="151" spans="1:16" s="350" customFormat="1" ht="16.5">
      <c r="A151" s="394"/>
      <c r="B151" s="395"/>
      <c r="C151" s="413" t="s">
        <v>294</v>
      </c>
      <c r="D151" s="395" t="s">
        <v>34</v>
      </c>
      <c r="E151" s="405">
        <f>E147*1.25</f>
        <v>91.93</v>
      </c>
      <c r="F151" s="393"/>
      <c r="G151" s="389"/>
      <c r="H151" s="399"/>
      <c r="I151" s="390"/>
      <c r="J151" s="390"/>
      <c r="K151" s="393"/>
      <c r="L151" s="400"/>
      <c r="M151" s="393"/>
      <c r="N151" s="393"/>
      <c r="O151" s="393"/>
      <c r="P151" s="393"/>
    </row>
    <row r="152" spans="1:16" s="350" customFormat="1" ht="16.5">
      <c r="A152" s="394"/>
      <c r="B152" s="395"/>
      <c r="C152" s="413" t="s">
        <v>295</v>
      </c>
      <c r="D152" s="395" t="s">
        <v>287</v>
      </c>
      <c r="E152" s="405">
        <v>1</v>
      </c>
      <c r="F152" s="393"/>
      <c r="G152" s="389"/>
      <c r="H152" s="399"/>
      <c r="I152" s="390"/>
      <c r="J152" s="390"/>
      <c r="K152" s="393"/>
      <c r="L152" s="400"/>
      <c r="M152" s="393"/>
      <c r="N152" s="393"/>
      <c r="O152" s="393"/>
      <c r="P152" s="393"/>
    </row>
    <row r="153" spans="1:16" s="350" customFormat="1" ht="16.5">
      <c r="A153" s="394"/>
      <c r="B153" s="406"/>
      <c r="C153" s="416" t="s">
        <v>296</v>
      </c>
      <c r="D153" s="390"/>
      <c r="E153" s="402"/>
      <c r="F153" s="389"/>
      <c r="G153" s="389"/>
      <c r="H153" s="390"/>
      <c r="I153" s="391"/>
      <c r="J153" s="392"/>
      <c r="K153" s="393"/>
      <c r="L153" s="393"/>
      <c r="M153" s="393"/>
      <c r="N153" s="393"/>
      <c r="O153" s="393"/>
      <c r="P153" s="393"/>
    </row>
    <row r="154" spans="1:16" s="350" customFormat="1" ht="54">
      <c r="A154" s="394">
        <v>48</v>
      </c>
      <c r="B154" s="417"/>
      <c r="C154" s="418" t="s">
        <v>297</v>
      </c>
      <c r="D154" s="395" t="s">
        <v>34</v>
      </c>
      <c r="E154" s="405">
        <v>25.9</v>
      </c>
      <c r="F154" s="389"/>
      <c r="G154" s="389"/>
      <c r="H154" s="399"/>
      <c r="I154" s="390"/>
      <c r="J154" s="390"/>
      <c r="K154" s="393"/>
      <c r="L154" s="400"/>
      <c r="M154" s="393"/>
      <c r="N154" s="393"/>
      <c r="O154" s="393"/>
      <c r="P154" s="393"/>
    </row>
    <row r="155" spans="1:16" s="350" customFormat="1" ht="16.5">
      <c r="A155" s="394"/>
      <c r="B155" s="406"/>
      <c r="C155" s="413" t="s">
        <v>298</v>
      </c>
      <c r="D155" s="395" t="s">
        <v>44</v>
      </c>
      <c r="E155" s="405">
        <f>E154*0.15</f>
        <v>3.89</v>
      </c>
      <c r="F155" s="390"/>
      <c r="G155" s="390"/>
      <c r="H155" s="399"/>
      <c r="I155" s="390"/>
      <c r="J155" s="390"/>
      <c r="K155" s="393"/>
      <c r="L155" s="400"/>
      <c r="M155" s="393"/>
      <c r="N155" s="393"/>
      <c r="O155" s="393"/>
      <c r="P155" s="393"/>
    </row>
    <row r="156" spans="1:16" s="350" customFormat="1" ht="16.5">
      <c r="A156" s="394"/>
      <c r="B156" s="406"/>
      <c r="C156" s="413" t="s">
        <v>299</v>
      </c>
      <c r="D156" s="395" t="s">
        <v>36</v>
      </c>
      <c r="E156" s="419">
        <f>E154*25</f>
        <v>648</v>
      </c>
      <c r="F156" s="389"/>
      <c r="G156" s="389"/>
      <c r="H156" s="399"/>
      <c r="I156" s="390"/>
      <c r="J156" s="390"/>
      <c r="K156" s="393"/>
      <c r="L156" s="400"/>
      <c r="M156" s="393"/>
      <c r="N156" s="393"/>
      <c r="O156" s="393"/>
      <c r="P156" s="393"/>
    </row>
    <row r="157" spans="1:16" s="350" customFormat="1" ht="16.5">
      <c r="A157" s="394"/>
      <c r="B157" s="403"/>
      <c r="C157" s="413" t="s">
        <v>286</v>
      </c>
      <c r="D157" s="390" t="s">
        <v>287</v>
      </c>
      <c r="E157" s="402">
        <v>1</v>
      </c>
      <c r="F157" s="389"/>
      <c r="G157" s="389"/>
      <c r="H157" s="399"/>
      <c r="I157" s="391"/>
      <c r="J157" s="392"/>
      <c r="K157" s="393"/>
      <c r="L157" s="400"/>
      <c r="M157" s="393"/>
      <c r="N157" s="393"/>
      <c r="O157" s="393"/>
      <c r="P157" s="393"/>
    </row>
    <row r="158" spans="1:16" s="350" customFormat="1" ht="16.5">
      <c r="A158" s="394">
        <v>49</v>
      </c>
      <c r="B158" s="406"/>
      <c r="C158" s="396" t="s">
        <v>300</v>
      </c>
      <c r="D158" s="395" t="s">
        <v>34</v>
      </c>
      <c r="E158" s="405">
        <f>E154</f>
        <v>25.9</v>
      </c>
      <c r="F158" s="389"/>
      <c r="G158" s="389"/>
      <c r="H158" s="399"/>
      <c r="I158" s="390"/>
      <c r="J158" s="390"/>
      <c r="K158" s="393"/>
      <c r="L158" s="400"/>
      <c r="M158" s="393"/>
      <c r="N158" s="393"/>
      <c r="O158" s="393"/>
      <c r="P158" s="393"/>
    </row>
    <row r="159" spans="1:16" s="350" customFormat="1" ht="16.5">
      <c r="A159" s="394"/>
      <c r="B159" s="406"/>
      <c r="C159" s="413" t="s">
        <v>141</v>
      </c>
      <c r="D159" s="395" t="s">
        <v>44</v>
      </c>
      <c r="E159" s="405">
        <f>E158*0.1</f>
        <v>2.59</v>
      </c>
      <c r="F159" s="389"/>
      <c r="G159" s="389"/>
      <c r="H159" s="390"/>
      <c r="I159" s="390"/>
      <c r="J159" s="390"/>
      <c r="K159" s="393"/>
      <c r="L159" s="393"/>
      <c r="M159" s="393"/>
      <c r="N159" s="393"/>
      <c r="O159" s="393"/>
      <c r="P159" s="393"/>
    </row>
    <row r="160" spans="1:16" s="350" customFormat="1" ht="16.5">
      <c r="A160" s="394"/>
      <c r="B160" s="403"/>
      <c r="C160" s="413" t="s">
        <v>292</v>
      </c>
      <c r="D160" s="395" t="s">
        <v>36</v>
      </c>
      <c r="E160" s="405">
        <f>E158*4</f>
        <v>103.6</v>
      </c>
      <c r="F160" s="389"/>
      <c r="G160" s="389"/>
      <c r="H160" s="390"/>
      <c r="I160" s="390"/>
      <c r="J160" s="390"/>
      <c r="K160" s="393"/>
      <c r="L160" s="393"/>
      <c r="M160" s="393"/>
      <c r="N160" s="393"/>
      <c r="O160" s="393"/>
      <c r="P160" s="393"/>
    </row>
    <row r="161" spans="1:16" s="350" customFormat="1" ht="16.5">
      <c r="A161" s="394"/>
      <c r="B161" s="403"/>
      <c r="C161" s="413" t="s">
        <v>293</v>
      </c>
      <c r="D161" s="395" t="s">
        <v>36</v>
      </c>
      <c r="E161" s="405">
        <f>E158*0.3</f>
        <v>7.77</v>
      </c>
      <c r="F161" s="389"/>
      <c r="G161" s="389"/>
      <c r="H161" s="390"/>
      <c r="I161" s="390"/>
      <c r="J161" s="390"/>
      <c r="K161" s="393"/>
      <c r="L161" s="393"/>
      <c r="M161" s="393"/>
      <c r="N161" s="393"/>
      <c r="O161" s="393"/>
      <c r="P161" s="393"/>
    </row>
    <row r="162" spans="1:16" s="350" customFormat="1" ht="16.5">
      <c r="A162" s="394"/>
      <c r="B162" s="395"/>
      <c r="C162" s="413" t="s">
        <v>301</v>
      </c>
      <c r="D162" s="395" t="s">
        <v>34</v>
      </c>
      <c r="E162" s="405">
        <f>E158*1.2</f>
        <v>31.08</v>
      </c>
      <c r="F162" s="393"/>
      <c r="G162" s="389"/>
      <c r="H162" s="390"/>
      <c r="I162" s="390"/>
      <c r="J162" s="390"/>
      <c r="K162" s="393"/>
      <c r="L162" s="393"/>
      <c r="M162" s="393"/>
      <c r="N162" s="393"/>
      <c r="O162" s="393"/>
      <c r="P162" s="393"/>
    </row>
    <row r="163" spans="1:16" s="350" customFormat="1" ht="16.5">
      <c r="A163" s="394"/>
      <c r="B163" s="395"/>
      <c r="C163" s="413" t="s">
        <v>295</v>
      </c>
      <c r="D163" s="395" t="s">
        <v>287</v>
      </c>
      <c r="E163" s="405">
        <v>1</v>
      </c>
      <c r="F163" s="393"/>
      <c r="G163" s="389"/>
      <c r="H163" s="390"/>
      <c r="I163" s="390"/>
      <c r="J163" s="390"/>
      <c r="K163" s="393"/>
      <c r="L163" s="393"/>
      <c r="M163" s="393"/>
      <c r="N163" s="393"/>
      <c r="O163" s="393"/>
      <c r="P163" s="393"/>
    </row>
    <row r="164" spans="1:16" s="350" customFormat="1" ht="16.5">
      <c r="A164" s="394"/>
      <c r="B164" s="406"/>
      <c r="C164" s="416" t="s">
        <v>302</v>
      </c>
      <c r="D164" s="390"/>
      <c r="E164" s="402"/>
      <c r="F164" s="389"/>
      <c r="G164" s="389"/>
      <c r="H164" s="390"/>
      <c r="I164" s="391"/>
      <c r="J164" s="392"/>
      <c r="K164" s="393"/>
      <c r="L164" s="393"/>
      <c r="M164" s="393"/>
      <c r="N164" s="393"/>
      <c r="O164" s="393"/>
      <c r="P164" s="393"/>
    </row>
    <row r="165" spans="1:16" s="350" customFormat="1" ht="27">
      <c r="A165" s="394">
        <v>50</v>
      </c>
      <c r="B165" s="406"/>
      <c r="C165" s="396" t="s">
        <v>303</v>
      </c>
      <c r="D165" s="390" t="s">
        <v>34</v>
      </c>
      <c r="E165" s="402">
        <v>25.9</v>
      </c>
      <c r="F165" s="389"/>
      <c r="G165" s="389"/>
      <c r="H165" s="399"/>
      <c r="I165" s="390"/>
      <c r="J165" s="390"/>
      <c r="K165" s="393"/>
      <c r="L165" s="400"/>
      <c r="M165" s="393"/>
      <c r="N165" s="393"/>
      <c r="O165" s="393"/>
      <c r="P165" s="393"/>
    </row>
    <row r="166" spans="1:16" s="350" customFormat="1" ht="16.5">
      <c r="A166" s="394"/>
      <c r="B166" s="406"/>
      <c r="C166" s="413" t="s">
        <v>304</v>
      </c>
      <c r="D166" s="390" t="s">
        <v>34</v>
      </c>
      <c r="E166" s="402">
        <f>E165</f>
        <v>25.9</v>
      </c>
      <c r="F166" s="389"/>
      <c r="G166" s="389"/>
      <c r="H166" s="399"/>
      <c r="I166" s="390"/>
      <c r="J166" s="390"/>
      <c r="K166" s="393"/>
      <c r="L166" s="400"/>
      <c r="M166" s="393"/>
      <c r="N166" s="393"/>
      <c r="O166" s="393"/>
      <c r="P166" s="393"/>
    </row>
    <row r="167" spans="1:16" s="350" customFormat="1" ht="16.5">
      <c r="A167" s="394"/>
      <c r="B167" s="406"/>
      <c r="C167" s="413" t="s">
        <v>305</v>
      </c>
      <c r="D167" s="390" t="s">
        <v>34</v>
      </c>
      <c r="E167" s="402">
        <f>E165*1.15</f>
        <v>29.79</v>
      </c>
      <c r="F167" s="389"/>
      <c r="G167" s="389"/>
      <c r="H167" s="399"/>
      <c r="I167" s="390"/>
      <c r="J167" s="390"/>
      <c r="K167" s="393"/>
      <c r="L167" s="400"/>
      <c r="M167" s="393"/>
      <c r="N167" s="393"/>
      <c r="O167" s="393"/>
      <c r="P167" s="393"/>
    </row>
    <row r="168" spans="1:16" s="350" customFormat="1" ht="16.5">
      <c r="A168" s="394"/>
      <c r="B168" s="395"/>
      <c r="C168" s="413" t="s">
        <v>286</v>
      </c>
      <c r="D168" s="395" t="s">
        <v>287</v>
      </c>
      <c r="E168" s="414">
        <v>1</v>
      </c>
      <c r="F168" s="393"/>
      <c r="G168" s="389"/>
      <c r="H168" s="399"/>
      <c r="I168" s="391"/>
      <c r="J168" s="392"/>
      <c r="K168" s="393"/>
      <c r="L168" s="400"/>
      <c r="M168" s="393"/>
      <c r="N168" s="393"/>
      <c r="O168" s="393"/>
      <c r="P168" s="393"/>
    </row>
    <row r="169" spans="1:16" s="350" customFormat="1" ht="16.5">
      <c r="A169" s="394"/>
      <c r="B169" s="403"/>
      <c r="C169" s="416" t="s">
        <v>0</v>
      </c>
      <c r="D169" s="390"/>
      <c r="E169" s="402"/>
      <c r="F169" s="389"/>
      <c r="G169" s="389"/>
      <c r="H169" s="390"/>
      <c r="I169" s="390"/>
      <c r="J169" s="390"/>
      <c r="K169" s="393"/>
      <c r="L169" s="393"/>
      <c r="M169" s="393"/>
      <c r="N169" s="393"/>
      <c r="O169" s="393"/>
      <c r="P169" s="393"/>
    </row>
    <row r="170" spans="1:16" s="350" customFormat="1" ht="40.5">
      <c r="A170" s="394">
        <v>51</v>
      </c>
      <c r="B170" s="403"/>
      <c r="C170" s="412" t="s">
        <v>306</v>
      </c>
      <c r="D170" s="395" t="s">
        <v>272</v>
      </c>
      <c r="E170" s="414">
        <v>5</v>
      </c>
      <c r="F170" s="389"/>
      <c r="G170" s="389"/>
      <c r="H170" s="399"/>
      <c r="I170" s="390"/>
      <c r="J170" s="390"/>
      <c r="K170" s="393"/>
      <c r="L170" s="400"/>
      <c r="M170" s="393"/>
      <c r="N170" s="393"/>
      <c r="O170" s="393"/>
      <c r="P170" s="393"/>
    </row>
    <row r="171" spans="1:16" s="350" customFormat="1" ht="16.5">
      <c r="A171" s="394"/>
      <c r="B171" s="403"/>
      <c r="C171" s="413" t="s">
        <v>307</v>
      </c>
      <c r="D171" s="395" t="s">
        <v>272</v>
      </c>
      <c r="E171" s="414">
        <f>E170</f>
        <v>5</v>
      </c>
      <c r="F171" s="389"/>
      <c r="G171" s="389"/>
      <c r="H171" s="399"/>
      <c r="I171" s="393"/>
      <c r="J171" s="390"/>
      <c r="K171" s="393"/>
      <c r="L171" s="400"/>
      <c r="M171" s="393"/>
      <c r="N171" s="393"/>
      <c r="O171" s="393"/>
      <c r="P171" s="393"/>
    </row>
    <row r="172" spans="1:16" s="350" customFormat="1" ht="16.5">
      <c r="A172" s="394"/>
      <c r="B172" s="403"/>
      <c r="C172" s="413" t="s">
        <v>308</v>
      </c>
      <c r="D172" s="390" t="s">
        <v>287</v>
      </c>
      <c r="E172" s="420">
        <v>1</v>
      </c>
      <c r="F172" s="389"/>
      <c r="G172" s="389"/>
      <c r="H172" s="399"/>
      <c r="I172" s="391"/>
      <c r="J172" s="392"/>
      <c r="K172" s="393"/>
      <c r="L172" s="400"/>
      <c r="M172" s="393"/>
      <c r="N172" s="393"/>
      <c r="O172" s="393"/>
      <c r="P172" s="393"/>
    </row>
    <row r="173" spans="1:16" s="350" customFormat="1" ht="16.5">
      <c r="A173" s="394"/>
      <c r="B173" s="406"/>
      <c r="C173" s="416" t="s">
        <v>309</v>
      </c>
      <c r="D173" s="390"/>
      <c r="E173" s="402"/>
      <c r="F173" s="389"/>
      <c r="G173" s="389"/>
      <c r="H173" s="390"/>
      <c r="I173" s="391"/>
      <c r="J173" s="392"/>
      <c r="K173" s="393"/>
      <c r="L173" s="393"/>
      <c r="M173" s="393"/>
      <c r="N173" s="393"/>
      <c r="O173" s="393"/>
      <c r="P173" s="393"/>
    </row>
    <row r="174" spans="1:16" s="350" customFormat="1" ht="40.5">
      <c r="A174" s="394">
        <v>52</v>
      </c>
      <c r="B174" s="406"/>
      <c r="C174" s="396" t="s">
        <v>310</v>
      </c>
      <c r="D174" s="390" t="s">
        <v>287</v>
      </c>
      <c r="E174" s="420">
        <v>1</v>
      </c>
      <c r="F174" s="389"/>
      <c r="G174" s="389"/>
      <c r="H174" s="399"/>
      <c r="I174" s="390"/>
      <c r="J174" s="390"/>
      <c r="K174" s="393"/>
      <c r="L174" s="400"/>
      <c r="M174" s="393"/>
      <c r="N174" s="393"/>
      <c r="O174" s="393"/>
      <c r="P174" s="393"/>
    </row>
    <row r="175" spans="1:16" s="350" customFormat="1" ht="16.5">
      <c r="A175" s="394"/>
      <c r="B175" s="406"/>
      <c r="C175" s="416" t="s">
        <v>311</v>
      </c>
      <c r="D175" s="390"/>
      <c r="E175" s="420"/>
      <c r="F175" s="389"/>
      <c r="G175" s="389"/>
      <c r="H175" s="399"/>
      <c r="I175" s="390"/>
      <c r="J175" s="390"/>
      <c r="K175" s="393"/>
      <c r="L175" s="400"/>
      <c r="M175" s="393"/>
      <c r="N175" s="393"/>
      <c r="O175" s="393"/>
      <c r="P175" s="393"/>
    </row>
    <row r="176" spans="1:16" s="350" customFormat="1" ht="27">
      <c r="A176" s="394">
        <v>53</v>
      </c>
      <c r="B176" s="406"/>
      <c r="C176" s="412" t="s">
        <v>312</v>
      </c>
      <c r="D176" s="390" t="s">
        <v>287</v>
      </c>
      <c r="E176" s="420">
        <v>1</v>
      </c>
      <c r="F176" s="389"/>
      <c r="G176" s="389"/>
      <c r="H176" s="399"/>
      <c r="I176" s="390"/>
      <c r="J176" s="390"/>
      <c r="K176" s="393"/>
      <c r="L176" s="400"/>
      <c r="M176" s="393"/>
      <c r="N176" s="393"/>
      <c r="O176" s="393"/>
      <c r="P176" s="393"/>
    </row>
    <row r="177" spans="1:16" s="350" customFormat="1" ht="16.5">
      <c r="A177" s="394"/>
      <c r="B177" s="406"/>
      <c r="C177" s="416" t="s">
        <v>313</v>
      </c>
      <c r="D177" s="390"/>
      <c r="E177" s="420"/>
      <c r="F177" s="389"/>
      <c r="G177" s="389"/>
      <c r="H177" s="390"/>
      <c r="I177" s="390"/>
      <c r="J177" s="390"/>
      <c r="K177" s="393"/>
      <c r="L177" s="393"/>
      <c r="M177" s="393"/>
      <c r="N177" s="393"/>
      <c r="O177" s="393"/>
      <c r="P177" s="393"/>
    </row>
    <row r="178" spans="1:18" s="116" customFormat="1" ht="27">
      <c r="A178" s="394">
        <v>54</v>
      </c>
      <c r="B178" s="406"/>
      <c r="C178" s="396" t="s">
        <v>314</v>
      </c>
      <c r="D178" s="390" t="s">
        <v>287</v>
      </c>
      <c r="E178" s="420">
        <v>10</v>
      </c>
      <c r="F178" s="389"/>
      <c r="G178" s="389"/>
      <c r="H178" s="399"/>
      <c r="I178" s="390"/>
      <c r="J178" s="390"/>
      <c r="K178" s="393"/>
      <c r="L178" s="400"/>
      <c r="M178" s="393"/>
      <c r="N178" s="393"/>
      <c r="O178" s="393"/>
      <c r="P178" s="393"/>
      <c r="R178" s="303"/>
    </row>
    <row r="179" spans="1:18" s="28" customFormat="1" ht="27">
      <c r="A179" s="394">
        <v>55</v>
      </c>
      <c r="B179" s="406"/>
      <c r="C179" s="396" t="s">
        <v>315</v>
      </c>
      <c r="D179" s="390" t="s">
        <v>100</v>
      </c>
      <c r="E179" s="420">
        <v>4</v>
      </c>
      <c r="F179" s="389"/>
      <c r="G179" s="389"/>
      <c r="H179" s="399"/>
      <c r="I179" s="390"/>
      <c r="J179" s="390"/>
      <c r="K179" s="393"/>
      <c r="L179" s="400"/>
      <c r="M179" s="393"/>
      <c r="N179" s="393"/>
      <c r="O179" s="393"/>
      <c r="P179" s="393"/>
      <c r="R179" s="303"/>
    </row>
    <row r="180" spans="1:18" s="74" customFormat="1" ht="16.5">
      <c r="A180" s="394"/>
      <c r="B180" s="406"/>
      <c r="C180" s="413" t="s">
        <v>316</v>
      </c>
      <c r="D180" s="390" t="s">
        <v>100</v>
      </c>
      <c r="E180" s="420">
        <f>E179</f>
        <v>4</v>
      </c>
      <c r="F180" s="393"/>
      <c r="G180" s="389"/>
      <c r="H180" s="399"/>
      <c r="I180" s="391"/>
      <c r="J180" s="392"/>
      <c r="K180" s="393"/>
      <c r="L180" s="400"/>
      <c r="M180" s="393"/>
      <c r="N180" s="393"/>
      <c r="O180" s="393"/>
      <c r="P180" s="393"/>
      <c r="R180" s="303"/>
    </row>
    <row r="181" spans="1:16" s="78" customFormat="1" ht="16.5">
      <c r="A181" s="394"/>
      <c r="B181" s="406"/>
      <c r="C181" s="413" t="s">
        <v>317</v>
      </c>
      <c r="D181" s="390" t="s">
        <v>287</v>
      </c>
      <c r="E181" s="420">
        <v>1</v>
      </c>
      <c r="F181" s="393"/>
      <c r="G181" s="389"/>
      <c r="H181" s="399"/>
      <c r="I181" s="391"/>
      <c r="J181" s="392"/>
      <c r="K181" s="393"/>
      <c r="L181" s="400"/>
      <c r="M181" s="393"/>
      <c r="N181" s="393"/>
      <c r="O181" s="393"/>
      <c r="P181" s="393"/>
    </row>
    <row r="182" spans="1:16" s="78" customFormat="1" ht="16.5">
      <c r="A182" s="394">
        <v>56</v>
      </c>
      <c r="B182" s="406"/>
      <c r="C182" s="396" t="s">
        <v>318</v>
      </c>
      <c r="D182" s="390" t="s">
        <v>100</v>
      </c>
      <c r="E182" s="420">
        <v>6</v>
      </c>
      <c r="F182" s="389"/>
      <c r="G182" s="389"/>
      <c r="H182" s="399"/>
      <c r="I182" s="390"/>
      <c r="J182" s="390"/>
      <c r="K182" s="393"/>
      <c r="L182" s="400"/>
      <c r="M182" s="393"/>
      <c r="N182" s="393"/>
      <c r="O182" s="393"/>
      <c r="P182" s="393"/>
    </row>
    <row r="183" spans="1:16" s="78" customFormat="1" ht="16.5">
      <c r="A183" s="394"/>
      <c r="B183" s="406"/>
      <c r="C183" s="413" t="s">
        <v>319</v>
      </c>
      <c r="D183" s="390" t="s">
        <v>100</v>
      </c>
      <c r="E183" s="420">
        <f>E182</f>
        <v>6</v>
      </c>
      <c r="F183" s="393"/>
      <c r="G183" s="389"/>
      <c r="H183" s="399"/>
      <c r="I183" s="391"/>
      <c r="J183" s="392"/>
      <c r="K183" s="393"/>
      <c r="L183" s="400"/>
      <c r="M183" s="393"/>
      <c r="N183" s="393"/>
      <c r="O183" s="393"/>
      <c r="P183" s="393"/>
    </row>
    <row r="184" spans="1:16" s="80" customFormat="1" ht="13.5">
      <c r="A184" s="394"/>
      <c r="B184" s="406"/>
      <c r="C184" s="413" t="s">
        <v>317</v>
      </c>
      <c r="D184" s="390" t="s">
        <v>287</v>
      </c>
      <c r="E184" s="420">
        <v>1</v>
      </c>
      <c r="F184" s="393"/>
      <c r="G184" s="389"/>
      <c r="H184" s="399"/>
      <c r="I184" s="391"/>
      <c r="J184" s="392"/>
      <c r="K184" s="393"/>
      <c r="L184" s="400"/>
      <c r="M184" s="393"/>
      <c r="N184" s="393"/>
      <c r="O184" s="393"/>
      <c r="P184" s="393"/>
    </row>
    <row r="185" spans="1:16" s="80" customFormat="1" ht="13.5">
      <c r="A185" s="394"/>
      <c r="B185" s="406"/>
      <c r="C185" s="416" t="s">
        <v>320</v>
      </c>
      <c r="D185" s="390"/>
      <c r="E185" s="402"/>
      <c r="F185" s="389"/>
      <c r="G185" s="389"/>
      <c r="H185" s="390"/>
      <c r="I185" s="391"/>
      <c r="J185" s="392"/>
      <c r="K185" s="393"/>
      <c r="L185" s="393"/>
      <c r="M185" s="393"/>
      <c r="N185" s="393"/>
      <c r="O185" s="393"/>
      <c r="P185" s="393"/>
    </row>
    <row r="186" spans="1:16" s="80" customFormat="1" ht="41.25" thickBot="1">
      <c r="A186" s="394">
        <v>57</v>
      </c>
      <c r="B186" s="406"/>
      <c r="C186" s="412" t="s">
        <v>321</v>
      </c>
      <c r="D186" s="390" t="s">
        <v>287</v>
      </c>
      <c r="E186" s="420">
        <v>1</v>
      </c>
      <c r="F186" s="389"/>
      <c r="G186" s="389"/>
      <c r="H186" s="399"/>
      <c r="I186" s="390"/>
      <c r="J186" s="390"/>
      <c r="K186" s="393"/>
      <c r="L186" s="400"/>
      <c r="M186" s="393"/>
      <c r="N186" s="393"/>
      <c r="O186" s="393"/>
      <c r="P186" s="393"/>
    </row>
    <row r="187" spans="1:16" ht="16.5">
      <c r="A187" s="370"/>
      <c r="B187" s="371"/>
      <c r="C187" s="372" t="s">
        <v>53</v>
      </c>
      <c r="D187" s="371" t="s">
        <v>54</v>
      </c>
      <c r="E187" s="371"/>
      <c r="F187" s="371"/>
      <c r="G187" s="373"/>
      <c r="H187" s="374"/>
      <c r="I187" s="373"/>
      <c r="J187" s="373"/>
      <c r="K187" s="373"/>
      <c r="L187" s="375">
        <f>SUM(L18:L186)</f>
        <v>0</v>
      </c>
      <c r="M187" s="375">
        <f>SUM(M18:M186)</f>
        <v>0</v>
      </c>
      <c r="N187" s="375">
        <f>SUM(N18:N186)</f>
        <v>0</v>
      </c>
      <c r="O187" s="375">
        <f>SUM(O18:O186)</f>
        <v>0</v>
      </c>
      <c r="P187" s="375">
        <f>SUM(P18:P186)</f>
        <v>0</v>
      </c>
    </row>
    <row r="188" spans="1:16" ht="16.5">
      <c r="A188" s="524" t="s">
        <v>217</v>
      </c>
      <c r="B188" s="524"/>
      <c r="C188" s="524"/>
      <c r="D188" s="524"/>
      <c r="E188" s="524"/>
      <c r="F188" s="524"/>
      <c r="G188" s="524"/>
      <c r="H188" s="524"/>
      <c r="I188" s="524"/>
      <c r="J188" s="524"/>
      <c r="K188" s="524"/>
      <c r="L188" s="300"/>
      <c r="M188" s="300"/>
      <c r="N188" s="300">
        <f>ROUND(N187*0.03,2)</f>
        <v>0</v>
      </c>
      <c r="O188" s="300"/>
      <c r="P188" s="301">
        <f>SUM(M188:O188)</f>
        <v>0</v>
      </c>
    </row>
    <row r="189" spans="1:16" ht="17.25" thickBot="1">
      <c r="A189" s="518" t="s">
        <v>56</v>
      </c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376">
        <f>SUM(L187:L188)</f>
        <v>0</v>
      </c>
      <c r="M189" s="376">
        <f>SUM(M187:M188)</f>
        <v>0</v>
      </c>
      <c r="N189" s="376">
        <f>SUM(N187:N188)</f>
        <v>0</v>
      </c>
      <c r="O189" s="376">
        <f>SUM(O187:O188)</f>
        <v>0</v>
      </c>
      <c r="P189" s="377">
        <f>SUM(M189:O189)</f>
        <v>0</v>
      </c>
    </row>
    <row r="192" spans="1:8" ht="15">
      <c r="A192" s="510" t="s">
        <v>82</v>
      </c>
      <c r="B192" s="510"/>
      <c r="C192" s="144"/>
      <c r="D192" s="145"/>
      <c r="E192" s="175"/>
      <c r="F192" s="175"/>
      <c r="G192" s="175"/>
      <c r="H192" s="175"/>
    </row>
    <row r="193" spans="1:8" ht="15">
      <c r="A193" s="146"/>
      <c r="B193" s="146"/>
      <c r="C193" s="147" t="s">
        <v>83</v>
      </c>
      <c r="D193" s="148"/>
      <c r="E193" s="150"/>
      <c r="F193" s="150"/>
      <c r="G193" s="150"/>
      <c r="H193" s="150"/>
    </row>
    <row r="194" spans="1:8" ht="15">
      <c r="A194" s="146"/>
      <c r="B194" s="146"/>
      <c r="C194" s="146"/>
      <c r="D194" s="146"/>
      <c r="E194" s="150"/>
      <c r="F194" s="150"/>
      <c r="G194" s="150"/>
      <c r="H194" s="150"/>
    </row>
    <row r="195" spans="1:8" ht="15">
      <c r="A195" s="490" t="s">
        <v>84</v>
      </c>
      <c r="B195" s="490"/>
      <c r="C195" s="144"/>
      <c r="D195" s="145"/>
      <c r="E195" s="150"/>
      <c r="F195" s="150"/>
      <c r="G195" s="150"/>
      <c r="H195" s="150"/>
    </row>
  </sheetData>
  <sheetProtection/>
  <mergeCells count="24">
    <mergeCell ref="A192:B192"/>
    <mergeCell ref="A1:P1"/>
    <mergeCell ref="A2:P2"/>
    <mergeCell ref="A3:P3"/>
    <mergeCell ref="A5:C5"/>
    <mergeCell ref="D5:P5"/>
    <mergeCell ref="A6:C6"/>
    <mergeCell ref="D6:P6"/>
    <mergeCell ref="A188:K188"/>
    <mergeCell ref="A189:K189"/>
    <mergeCell ref="A11:P11"/>
    <mergeCell ref="A13:A14"/>
    <mergeCell ref="B13:B14"/>
    <mergeCell ref="C13:C14"/>
    <mergeCell ref="D13:D14"/>
    <mergeCell ref="E13:E14"/>
    <mergeCell ref="F13:K13"/>
    <mergeCell ref="L13:P13"/>
    <mergeCell ref="O10:P10"/>
    <mergeCell ref="A7:C7"/>
    <mergeCell ref="D7:P7"/>
    <mergeCell ref="A8:C8"/>
    <mergeCell ref="D8:P8"/>
    <mergeCell ref="A9:P9"/>
  </mergeCells>
  <printOptions/>
  <pageMargins left="0.1968503937007874" right="0.11811023622047245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zoomScalePageLayoutView="0" workbookViewId="0" topLeftCell="A43">
      <selection activeCell="G55" sqref="G55"/>
    </sheetView>
  </sheetViews>
  <sheetFormatPr defaultColWidth="9.140625" defaultRowHeight="15"/>
  <cols>
    <col min="1" max="1" width="5.140625" style="378" customWidth="1"/>
    <col min="2" max="2" width="8.8515625" style="378" customWidth="1"/>
    <col min="3" max="3" width="23.00390625" style="379" customWidth="1"/>
    <col min="4" max="4" width="5.28125" style="379" customWidth="1"/>
    <col min="5" max="6" width="7.00390625" style="379" customWidth="1"/>
    <col min="7" max="7" width="7.140625" style="379" customWidth="1"/>
    <col min="8" max="8" width="7.421875" style="379" customWidth="1"/>
    <col min="9" max="9" width="7.7109375" style="379" customWidth="1"/>
    <col min="10" max="10" width="9.28125" style="379" customWidth="1"/>
    <col min="11" max="11" width="8.28125" style="379" customWidth="1"/>
    <col min="12" max="12" width="8.8515625" style="379" customWidth="1"/>
    <col min="13" max="13" width="9.57421875" style="379" customWidth="1"/>
    <col min="14" max="14" width="7.8515625" style="379" customWidth="1"/>
    <col min="15" max="15" width="9.00390625" style="379" customWidth="1"/>
    <col min="16" max="16384" width="9.140625" style="379" customWidth="1"/>
  </cols>
  <sheetData>
    <row r="1" spans="1:16" s="1" customFormat="1" ht="18">
      <c r="A1" s="527" t="s">
        <v>324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8">
      <c r="A2" s="528" t="s">
        <v>326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2.75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82" customFormat="1" ht="16.5" customHeight="1">
      <c r="A8" s="519" t="s">
        <v>14</v>
      </c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82" customFormat="1" ht="15.75" customHeight="1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</row>
    <row r="10" spans="1:16" s="16" customFormat="1" ht="14.25" customHeight="1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P49</f>
        <v>0</v>
      </c>
      <c r="P10" s="531"/>
    </row>
    <row r="11" spans="1:16" s="11" customFormat="1" ht="17.25" customHeight="1">
      <c r="A11" s="525" t="s">
        <v>373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28" customFormat="1" ht="16.5">
      <c r="A12" s="24"/>
      <c r="B12" s="24"/>
      <c r="C12" s="25"/>
      <c r="D12" s="25"/>
      <c r="E12" s="26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7"/>
    </row>
    <row r="13" spans="1:16" s="112" customFormat="1" ht="12.75">
      <c r="A13" s="534" t="s">
        <v>16</v>
      </c>
      <c r="B13" s="534" t="s">
        <v>17</v>
      </c>
      <c r="C13" s="538" t="s">
        <v>18</v>
      </c>
      <c r="D13" s="534" t="s">
        <v>19</v>
      </c>
      <c r="E13" s="534" t="s">
        <v>20</v>
      </c>
      <c r="F13" s="534" t="s">
        <v>21</v>
      </c>
      <c r="G13" s="534"/>
      <c r="H13" s="534"/>
      <c r="I13" s="534"/>
      <c r="J13" s="534"/>
      <c r="K13" s="534"/>
      <c r="L13" s="534" t="s">
        <v>22</v>
      </c>
      <c r="M13" s="534"/>
      <c r="N13" s="534"/>
      <c r="O13" s="534"/>
      <c r="P13" s="534"/>
    </row>
    <row r="14" spans="1:16" s="112" customFormat="1" ht="51">
      <c r="A14" s="534"/>
      <c r="B14" s="534"/>
      <c r="C14" s="538"/>
      <c r="D14" s="534"/>
      <c r="E14" s="534"/>
      <c r="F14" s="110" t="s">
        <v>23</v>
      </c>
      <c r="G14" s="110" t="s">
        <v>24</v>
      </c>
      <c r="H14" s="110" t="s">
        <v>25</v>
      </c>
      <c r="I14" s="110" t="s">
        <v>26</v>
      </c>
      <c r="J14" s="110" t="s">
        <v>27</v>
      </c>
      <c r="K14" s="110" t="s">
        <v>28</v>
      </c>
      <c r="L14" s="110" t="s">
        <v>29</v>
      </c>
      <c r="M14" s="110" t="s">
        <v>30</v>
      </c>
      <c r="N14" s="110" t="s">
        <v>31</v>
      </c>
      <c r="O14" s="110" t="s">
        <v>32</v>
      </c>
      <c r="P14" s="110" t="s">
        <v>33</v>
      </c>
    </row>
    <row r="15" spans="1:16" s="112" customFormat="1" ht="12.75">
      <c r="A15" s="340">
        <v>1</v>
      </c>
      <c r="B15" s="340"/>
      <c r="C15" s="341">
        <v>2</v>
      </c>
      <c r="D15" s="340">
        <v>3</v>
      </c>
      <c r="E15" s="340">
        <v>4</v>
      </c>
      <c r="F15" s="340">
        <v>5</v>
      </c>
      <c r="G15" s="340">
        <v>6</v>
      </c>
      <c r="H15" s="340">
        <v>7</v>
      </c>
      <c r="I15" s="340">
        <v>8</v>
      </c>
      <c r="J15" s="340">
        <v>9</v>
      </c>
      <c r="K15" s="340">
        <v>10</v>
      </c>
      <c r="L15" s="340">
        <v>11</v>
      </c>
      <c r="M15" s="340">
        <v>12</v>
      </c>
      <c r="N15" s="340">
        <v>13</v>
      </c>
      <c r="O15" s="340">
        <v>14</v>
      </c>
      <c r="P15" s="340">
        <v>15</v>
      </c>
    </row>
    <row r="16" spans="1:16" s="112" customFormat="1" ht="13.5">
      <c r="A16" s="394"/>
      <c r="B16" s="406"/>
      <c r="C16" s="386" t="s">
        <v>269</v>
      </c>
      <c r="D16" s="390"/>
      <c r="E16" s="402"/>
      <c r="F16" s="389"/>
      <c r="G16" s="389"/>
      <c r="H16" s="390"/>
      <c r="I16" s="391"/>
      <c r="J16" s="392"/>
      <c r="K16" s="393"/>
      <c r="L16" s="400"/>
      <c r="M16" s="400"/>
      <c r="N16" s="393"/>
      <c r="O16" s="393"/>
      <c r="P16" s="393"/>
    </row>
    <row r="17" spans="1:16" s="112" customFormat="1" ht="13.5">
      <c r="A17" s="394">
        <v>1</v>
      </c>
      <c r="B17" s="395"/>
      <c r="C17" s="396" t="s">
        <v>271</v>
      </c>
      <c r="D17" s="397" t="s">
        <v>272</v>
      </c>
      <c r="E17" s="398">
        <v>2</v>
      </c>
      <c r="F17" s="389"/>
      <c r="G17" s="389"/>
      <c r="H17" s="399"/>
      <c r="I17" s="399"/>
      <c r="J17" s="399"/>
      <c r="K17" s="393"/>
      <c r="L17" s="400"/>
      <c r="M17" s="400"/>
      <c r="N17" s="393"/>
      <c r="O17" s="393"/>
      <c r="P17" s="393"/>
    </row>
    <row r="18" spans="1:16" s="112" customFormat="1" ht="27">
      <c r="A18" s="394">
        <v>2</v>
      </c>
      <c r="B18" s="395"/>
      <c r="C18" s="396" t="s">
        <v>275</v>
      </c>
      <c r="D18" s="390" t="s">
        <v>276</v>
      </c>
      <c r="E18" s="402">
        <v>6</v>
      </c>
      <c r="F18" s="389"/>
      <c r="G18" s="389"/>
      <c r="H18" s="399"/>
      <c r="I18" s="391"/>
      <c r="J18" s="392"/>
      <c r="K18" s="393"/>
      <c r="L18" s="400"/>
      <c r="M18" s="400"/>
      <c r="N18" s="393"/>
      <c r="O18" s="393"/>
      <c r="P18" s="393"/>
    </row>
    <row r="19" spans="1:16" s="112" customFormat="1" ht="13.5">
      <c r="A19" s="394">
        <v>3</v>
      </c>
      <c r="B19" s="403"/>
      <c r="C19" s="404" t="s">
        <v>277</v>
      </c>
      <c r="D19" s="395" t="s">
        <v>50</v>
      </c>
      <c r="E19" s="405">
        <v>4</v>
      </c>
      <c r="F19" s="389"/>
      <c r="G19" s="389"/>
      <c r="H19" s="399"/>
      <c r="I19" s="390"/>
      <c r="J19" s="390"/>
      <c r="K19" s="393"/>
      <c r="L19" s="400"/>
      <c r="M19" s="400"/>
      <c r="N19" s="393"/>
      <c r="O19" s="393"/>
      <c r="P19" s="393"/>
    </row>
    <row r="20" spans="1:16" s="112" customFormat="1" ht="13.5">
      <c r="A20" s="422"/>
      <c r="B20" s="423"/>
      <c r="C20" s="424" t="s">
        <v>278</v>
      </c>
      <c r="D20" s="411" t="s">
        <v>100</v>
      </c>
      <c r="E20" s="425">
        <f>E19/8</f>
        <v>1</v>
      </c>
      <c r="F20" s="409"/>
      <c r="G20" s="409"/>
      <c r="H20" s="399"/>
      <c r="I20" s="410"/>
      <c r="J20" s="411"/>
      <c r="K20" s="393"/>
      <c r="L20" s="400"/>
      <c r="M20" s="400"/>
      <c r="N20" s="400"/>
      <c r="O20" s="400"/>
      <c r="P20" s="400"/>
    </row>
    <row r="21" spans="1:16" s="112" customFormat="1" ht="13.5">
      <c r="A21" s="394"/>
      <c r="B21" s="406"/>
      <c r="C21" s="386" t="s">
        <v>281</v>
      </c>
      <c r="D21" s="390"/>
      <c r="E21" s="402"/>
      <c r="F21" s="391"/>
      <c r="G21" s="391"/>
      <c r="H21" s="391"/>
      <c r="I21" s="391"/>
      <c r="J21" s="392"/>
      <c r="K21" s="393"/>
      <c r="L21" s="400"/>
      <c r="M21" s="400"/>
      <c r="N21" s="393"/>
      <c r="O21" s="393"/>
      <c r="P21" s="393"/>
    </row>
    <row r="22" spans="1:16" s="112" customFormat="1" ht="40.5">
      <c r="A22" s="394">
        <v>4</v>
      </c>
      <c r="B22" s="395"/>
      <c r="C22" s="412" t="s">
        <v>282</v>
      </c>
      <c r="D22" s="395" t="s">
        <v>34</v>
      </c>
      <c r="E22" s="391">
        <v>856.33</v>
      </c>
      <c r="F22" s="389"/>
      <c r="G22" s="389"/>
      <c r="H22" s="399"/>
      <c r="I22" s="390"/>
      <c r="J22" s="390"/>
      <c r="K22" s="393"/>
      <c r="L22" s="400"/>
      <c r="M22" s="400"/>
      <c r="N22" s="393"/>
      <c r="O22" s="393"/>
      <c r="P22" s="393"/>
    </row>
    <row r="23" spans="1:16" s="112" customFormat="1" ht="13.5">
      <c r="A23" s="394"/>
      <c r="B23" s="395"/>
      <c r="C23" s="413" t="s">
        <v>193</v>
      </c>
      <c r="D23" s="395" t="s">
        <v>44</v>
      </c>
      <c r="E23" s="391">
        <f>E22*0.1</f>
        <v>85.63</v>
      </c>
      <c r="F23" s="389"/>
      <c r="G23" s="389"/>
      <c r="H23" s="399"/>
      <c r="I23" s="390"/>
      <c r="J23" s="390"/>
      <c r="K23" s="393"/>
      <c r="L23" s="400"/>
      <c r="M23" s="400"/>
      <c r="N23" s="393"/>
      <c r="O23" s="393"/>
      <c r="P23" s="393"/>
    </row>
    <row r="24" spans="1:16" s="112" customFormat="1" ht="13.5">
      <c r="A24" s="394"/>
      <c r="B24" s="395"/>
      <c r="C24" s="413" t="s">
        <v>344</v>
      </c>
      <c r="D24" s="395" t="s">
        <v>36</v>
      </c>
      <c r="E24" s="391">
        <f>(E22*4)/4</f>
        <v>856.33</v>
      </c>
      <c r="F24" s="389"/>
      <c r="G24" s="389"/>
      <c r="H24" s="399"/>
      <c r="I24" s="390"/>
      <c r="J24" s="390"/>
      <c r="K24" s="393"/>
      <c r="L24" s="400"/>
      <c r="M24" s="400"/>
      <c r="N24" s="393"/>
      <c r="O24" s="393"/>
      <c r="P24" s="393"/>
    </row>
    <row r="25" spans="1:16" s="112" customFormat="1" ht="13.5">
      <c r="A25" s="394"/>
      <c r="B25" s="395"/>
      <c r="C25" s="413" t="s">
        <v>284</v>
      </c>
      <c r="D25" s="395" t="s">
        <v>36</v>
      </c>
      <c r="E25" s="414">
        <f>E22*1.2</f>
        <v>1028</v>
      </c>
      <c r="F25" s="393"/>
      <c r="G25" s="389"/>
      <c r="H25" s="399"/>
      <c r="I25" s="391"/>
      <c r="J25" s="392"/>
      <c r="K25" s="393"/>
      <c r="L25" s="400"/>
      <c r="M25" s="400"/>
      <c r="N25" s="393"/>
      <c r="O25" s="393"/>
      <c r="P25" s="393"/>
    </row>
    <row r="26" spans="1:16" s="112" customFormat="1" ht="13.5">
      <c r="A26" s="394"/>
      <c r="B26" s="395"/>
      <c r="C26" s="413" t="s">
        <v>285</v>
      </c>
      <c r="D26" s="395" t="s">
        <v>36</v>
      </c>
      <c r="E26" s="414">
        <f>E22*0.7</f>
        <v>599</v>
      </c>
      <c r="F26" s="393"/>
      <c r="G26" s="389"/>
      <c r="H26" s="399"/>
      <c r="I26" s="391"/>
      <c r="J26" s="392"/>
      <c r="K26" s="393"/>
      <c r="L26" s="400"/>
      <c r="M26" s="393"/>
      <c r="N26" s="393"/>
      <c r="O26" s="393"/>
      <c r="P26" s="393"/>
    </row>
    <row r="27" spans="1:16" s="112" customFormat="1" ht="13.5">
      <c r="A27" s="394"/>
      <c r="B27" s="395"/>
      <c r="C27" s="413" t="s">
        <v>286</v>
      </c>
      <c r="D27" s="395" t="s">
        <v>287</v>
      </c>
      <c r="E27" s="414">
        <v>1</v>
      </c>
      <c r="F27" s="393"/>
      <c r="G27" s="389"/>
      <c r="H27" s="399"/>
      <c r="I27" s="391"/>
      <c r="J27" s="392"/>
      <c r="K27" s="393"/>
      <c r="L27" s="400"/>
      <c r="M27" s="393"/>
      <c r="N27" s="393"/>
      <c r="O27" s="393"/>
      <c r="P27" s="393"/>
    </row>
    <row r="28" spans="1:16" s="112" customFormat="1" ht="27">
      <c r="A28" s="394">
        <v>5</v>
      </c>
      <c r="B28" s="395"/>
      <c r="C28" s="412" t="s">
        <v>335</v>
      </c>
      <c r="D28" s="395" t="s">
        <v>34</v>
      </c>
      <c r="E28" s="415">
        <f>E22</f>
        <v>856.3</v>
      </c>
      <c r="F28" s="389"/>
      <c r="G28" s="389"/>
      <c r="H28" s="399"/>
      <c r="I28" s="390"/>
      <c r="J28" s="390"/>
      <c r="K28" s="393"/>
      <c r="L28" s="400"/>
      <c r="M28" s="393"/>
      <c r="N28" s="393"/>
      <c r="O28" s="393"/>
      <c r="P28" s="393"/>
    </row>
    <row r="29" spans="1:16" s="112" customFormat="1" ht="13.5">
      <c r="A29" s="394"/>
      <c r="B29" s="395"/>
      <c r="C29" s="413" t="s">
        <v>289</v>
      </c>
      <c r="D29" s="395" t="s">
        <v>44</v>
      </c>
      <c r="E29" s="414">
        <f>E28*0.15</f>
        <v>128</v>
      </c>
      <c r="F29" s="389"/>
      <c r="G29" s="389"/>
      <c r="H29" s="399"/>
      <c r="I29" s="390"/>
      <c r="J29" s="390"/>
      <c r="K29" s="393"/>
      <c r="L29" s="400"/>
      <c r="M29" s="393"/>
      <c r="N29" s="393"/>
      <c r="O29" s="393"/>
      <c r="P29" s="393"/>
    </row>
    <row r="30" spans="1:16" s="112" customFormat="1" ht="13.5">
      <c r="A30" s="394"/>
      <c r="B30" s="395"/>
      <c r="C30" s="413" t="s">
        <v>290</v>
      </c>
      <c r="D30" s="395" t="s">
        <v>44</v>
      </c>
      <c r="E30" s="414">
        <f>E28*0.25</f>
        <v>214</v>
      </c>
      <c r="F30" s="393"/>
      <c r="G30" s="389"/>
      <c r="H30" s="399"/>
      <c r="I30" s="391"/>
      <c r="J30" s="392"/>
      <c r="K30" s="393"/>
      <c r="L30" s="400"/>
      <c r="M30" s="393"/>
      <c r="N30" s="393"/>
      <c r="O30" s="393"/>
      <c r="P30" s="393"/>
    </row>
    <row r="31" spans="1:16" s="112" customFormat="1" ht="13.5">
      <c r="A31" s="394"/>
      <c r="B31" s="395"/>
      <c r="C31" s="413" t="s">
        <v>286</v>
      </c>
      <c r="D31" s="395" t="s">
        <v>287</v>
      </c>
      <c r="E31" s="414">
        <v>1</v>
      </c>
      <c r="F31" s="393"/>
      <c r="G31" s="389"/>
      <c r="H31" s="399"/>
      <c r="I31" s="391"/>
      <c r="J31" s="392"/>
      <c r="K31" s="393"/>
      <c r="L31" s="400"/>
      <c r="M31" s="393"/>
      <c r="N31" s="393"/>
      <c r="O31" s="393"/>
      <c r="P31" s="393"/>
    </row>
    <row r="32" spans="1:16" s="112" customFormat="1" ht="13.5">
      <c r="A32" s="394"/>
      <c r="B32" s="406"/>
      <c r="C32" s="416" t="s">
        <v>302</v>
      </c>
      <c r="D32" s="390"/>
      <c r="E32" s="402"/>
      <c r="F32" s="391"/>
      <c r="G32" s="391"/>
      <c r="H32" s="391"/>
      <c r="I32" s="391"/>
      <c r="J32" s="392"/>
      <c r="K32" s="393"/>
      <c r="L32" s="400"/>
      <c r="M32" s="393"/>
      <c r="N32" s="393"/>
      <c r="O32" s="393"/>
      <c r="P32" s="393"/>
    </row>
    <row r="33" spans="1:16" s="112" customFormat="1" ht="27">
      <c r="A33" s="394">
        <v>6</v>
      </c>
      <c r="B33" s="406"/>
      <c r="C33" s="396" t="s">
        <v>345</v>
      </c>
      <c r="D33" s="390" t="s">
        <v>34</v>
      </c>
      <c r="E33" s="402">
        <v>546</v>
      </c>
      <c r="F33" s="389"/>
      <c r="G33" s="389"/>
      <c r="H33" s="399"/>
      <c r="I33" s="390"/>
      <c r="J33" s="390"/>
      <c r="K33" s="393"/>
      <c r="L33" s="400"/>
      <c r="M33" s="393"/>
      <c r="N33" s="393"/>
      <c r="O33" s="393"/>
      <c r="P33" s="393"/>
    </row>
    <row r="34" spans="1:16" s="112" customFormat="1" ht="13.5">
      <c r="A34" s="394"/>
      <c r="B34" s="406"/>
      <c r="C34" s="413" t="s">
        <v>346</v>
      </c>
      <c r="D34" s="390" t="s">
        <v>36</v>
      </c>
      <c r="E34" s="402">
        <f>E33/8</f>
        <v>68.25</v>
      </c>
      <c r="F34" s="389"/>
      <c r="G34" s="389"/>
      <c r="H34" s="399"/>
      <c r="I34" s="390"/>
      <c r="J34" s="390"/>
      <c r="K34" s="393"/>
      <c r="L34" s="400"/>
      <c r="M34" s="393"/>
      <c r="N34" s="393"/>
      <c r="O34" s="393"/>
      <c r="P34" s="393"/>
    </row>
    <row r="35" spans="1:16" s="112" customFormat="1" ht="13.5">
      <c r="A35" s="394"/>
      <c r="B35" s="395"/>
      <c r="C35" s="413" t="s">
        <v>286</v>
      </c>
      <c r="D35" s="395" t="s">
        <v>287</v>
      </c>
      <c r="E35" s="414">
        <v>1</v>
      </c>
      <c r="F35" s="393"/>
      <c r="G35" s="389"/>
      <c r="H35" s="399"/>
      <c r="I35" s="391"/>
      <c r="J35" s="392"/>
      <c r="K35" s="393"/>
      <c r="L35" s="400"/>
      <c r="M35" s="393"/>
      <c r="N35" s="393"/>
      <c r="O35" s="393"/>
      <c r="P35" s="393"/>
    </row>
    <row r="36" spans="1:16" s="112" customFormat="1" ht="13.5">
      <c r="A36" s="394"/>
      <c r="B36" s="403"/>
      <c r="C36" s="416" t="s">
        <v>0</v>
      </c>
      <c r="D36" s="390"/>
      <c r="E36" s="402"/>
      <c r="F36" s="389"/>
      <c r="G36" s="389"/>
      <c r="H36" s="399"/>
      <c r="I36" s="390"/>
      <c r="J36" s="390"/>
      <c r="K36" s="393"/>
      <c r="L36" s="400"/>
      <c r="M36" s="393"/>
      <c r="N36" s="393"/>
      <c r="O36" s="393"/>
      <c r="P36" s="393"/>
    </row>
    <row r="37" spans="1:16" s="112" customFormat="1" ht="13.5">
      <c r="A37" s="394">
        <v>7</v>
      </c>
      <c r="B37" s="403"/>
      <c r="C37" s="412" t="s">
        <v>347</v>
      </c>
      <c r="D37" s="395" t="s">
        <v>272</v>
      </c>
      <c r="E37" s="414">
        <v>2</v>
      </c>
      <c r="F37" s="389"/>
      <c r="G37" s="389"/>
      <c r="H37" s="399"/>
      <c r="I37" s="390"/>
      <c r="J37" s="390"/>
      <c r="K37" s="393"/>
      <c r="L37" s="400"/>
      <c r="M37" s="393"/>
      <c r="N37" s="393"/>
      <c r="O37" s="393"/>
      <c r="P37" s="393"/>
    </row>
    <row r="38" spans="1:16" s="112" customFormat="1" ht="13.5">
      <c r="A38" s="394"/>
      <c r="B38" s="403"/>
      <c r="C38" s="413" t="s">
        <v>307</v>
      </c>
      <c r="D38" s="395" t="s">
        <v>272</v>
      </c>
      <c r="E38" s="414">
        <f>E37</f>
        <v>2</v>
      </c>
      <c r="F38" s="389"/>
      <c r="G38" s="389"/>
      <c r="H38" s="399"/>
      <c r="I38" s="393"/>
      <c r="J38" s="390"/>
      <c r="K38" s="393"/>
      <c r="L38" s="400"/>
      <c r="M38" s="393"/>
      <c r="N38" s="393"/>
      <c r="O38" s="393"/>
      <c r="P38" s="393"/>
    </row>
    <row r="39" spans="1:16" s="112" customFormat="1" ht="13.5">
      <c r="A39" s="394"/>
      <c r="B39" s="403"/>
      <c r="C39" s="413" t="s">
        <v>308</v>
      </c>
      <c r="D39" s="390" t="s">
        <v>287</v>
      </c>
      <c r="E39" s="420">
        <v>1</v>
      </c>
      <c r="F39" s="389"/>
      <c r="G39" s="389"/>
      <c r="H39" s="399"/>
      <c r="I39" s="391"/>
      <c r="J39" s="392"/>
      <c r="K39" s="393"/>
      <c r="L39" s="400"/>
      <c r="M39" s="393"/>
      <c r="N39" s="393"/>
      <c r="O39" s="393"/>
      <c r="P39" s="393"/>
    </row>
    <row r="40" spans="1:16" s="112" customFormat="1" ht="13.5">
      <c r="A40" s="394"/>
      <c r="B40" s="406"/>
      <c r="C40" s="416" t="s">
        <v>309</v>
      </c>
      <c r="D40" s="390"/>
      <c r="E40" s="402"/>
      <c r="F40" s="389"/>
      <c r="G40" s="389"/>
      <c r="H40" s="399"/>
      <c r="I40" s="391"/>
      <c r="J40" s="392"/>
      <c r="K40" s="393"/>
      <c r="L40" s="400"/>
      <c r="M40" s="393"/>
      <c r="N40" s="393"/>
      <c r="O40" s="393"/>
      <c r="P40" s="393"/>
    </row>
    <row r="41" spans="1:16" s="112" customFormat="1" ht="33" customHeight="1">
      <c r="A41" s="394">
        <v>8</v>
      </c>
      <c r="B41" s="406"/>
      <c r="C41" s="396" t="s">
        <v>310</v>
      </c>
      <c r="D41" s="390" t="s">
        <v>287</v>
      </c>
      <c r="E41" s="420">
        <v>1</v>
      </c>
      <c r="F41" s="389"/>
      <c r="G41" s="389"/>
      <c r="H41" s="399"/>
      <c r="I41" s="390"/>
      <c r="J41" s="390"/>
      <c r="K41" s="393"/>
      <c r="L41" s="400"/>
      <c r="M41" s="393"/>
      <c r="N41" s="393"/>
      <c r="O41" s="393"/>
      <c r="P41" s="393"/>
    </row>
    <row r="42" spans="1:16" s="112" customFormat="1" ht="13.5">
      <c r="A42" s="394"/>
      <c r="B42" s="406"/>
      <c r="C42" s="416" t="s">
        <v>311</v>
      </c>
      <c r="D42" s="390"/>
      <c r="E42" s="420"/>
      <c r="F42" s="389"/>
      <c r="G42" s="389"/>
      <c r="H42" s="399"/>
      <c r="I42" s="390"/>
      <c r="J42" s="390"/>
      <c r="K42" s="393"/>
      <c r="L42" s="400"/>
      <c r="M42" s="393"/>
      <c r="N42" s="393"/>
      <c r="O42" s="393"/>
      <c r="P42" s="393"/>
    </row>
    <row r="43" spans="1:16" s="112" customFormat="1" ht="27">
      <c r="A43" s="394">
        <v>9</v>
      </c>
      <c r="B43" s="406"/>
      <c r="C43" s="412" t="s">
        <v>312</v>
      </c>
      <c r="D43" s="390" t="s">
        <v>287</v>
      </c>
      <c r="E43" s="420">
        <v>1</v>
      </c>
      <c r="F43" s="389"/>
      <c r="G43" s="389"/>
      <c r="H43" s="399"/>
      <c r="I43" s="390"/>
      <c r="J43" s="390"/>
      <c r="K43" s="393"/>
      <c r="L43" s="400"/>
      <c r="M43" s="393"/>
      <c r="N43" s="393"/>
      <c r="O43" s="393"/>
      <c r="P43" s="393"/>
    </row>
    <row r="44" spans="1:16" s="112" customFormat="1" ht="13.5">
      <c r="A44" s="426"/>
      <c r="B44" s="427"/>
      <c r="C44" s="428" t="s">
        <v>348</v>
      </c>
      <c r="D44" s="429"/>
      <c r="E44" s="430"/>
      <c r="F44" s="431"/>
      <c r="G44" s="431"/>
      <c r="H44" s="432"/>
      <c r="I44" s="429"/>
      <c r="J44" s="390"/>
      <c r="K44" s="393"/>
      <c r="L44" s="400"/>
      <c r="M44" s="393"/>
      <c r="N44" s="393"/>
      <c r="O44" s="393"/>
      <c r="P44" s="393"/>
    </row>
    <row r="45" spans="1:16" s="380" customFormat="1" ht="13.5">
      <c r="A45" s="394">
        <v>10</v>
      </c>
      <c r="B45" s="406"/>
      <c r="C45" s="412" t="s">
        <v>349</v>
      </c>
      <c r="D45" s="390" t="s">
        <v>350</v>
      </c>
      <c r="E45" s="420">
        <v>32</v>
      </c>
      <c r="F45" s="389"/>
      <c r="G45" s="389"/>
      <c r="H45" s="399"/>
      <c r="I45" s="390"/>
      <c r="J45" s="390"/>
      <c r="K45" s="393"/>
      <c r="L45" s="400"/>
      <c r="M45" s="393"/>
      <c r="N45" s="393"/>
      <c r="O45" s="393"/>
      <c r="P45" s="393"/>
    </row>
    <row r="46" spans="1:16" s="350" customFormat="1" ht="17.25" thickBot="1">
      <c r="A46" s="433"/>
      <c r="B46" s="434"/>
      <c r="C46" s="363"/>
      <c r="D46" s="369"/>
      <c r="E46" s="365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</row>
    <row r="47" spans="1:18" s="116" customFormat="1" ht="16.5">
      <c r="A47" s="370"/>
      <c r="B47" s="371"/>
      <c r="C47" s="372" t="s">
        <v>53</v>
      </c>
      <c r="D47" s="371" t="s">
        <v>54</v>
      </c>
      <c r="E47" s="371"/>
      <c r="F47" s="371"/>
      <c r="G47" s="373"/>
      <c r="H47" s="374"/>
      <c r="I47" s="373"/>
      <c r="J47" s="373"/>
      <c r="K47" s="373"/>
      <c r="L47" s="375">
        <f>SUM(L17:L46)</f>
        <v>0</v>
      </c>
      <c r="M47" s="375">
        <f>SUM(M17:M46)</f>
        <v>0</v>
      </c>
      <c r="N47" s="375">
        <f>SUM(N17:N46)</f>
        <v>0</v>
      </c>
      <c r="O47" s="375">
        <f>SUM(O17:O46)</f>
        <v>0</v>
      </c>
      <c r="P47" s="375">
        <f>SUM(P17:P46)</f>
        <v>0</v>
      </c>
      <c r="R47" s="303"/>
    </row>
    <row r="48" spans="1:18" s="28" customFormat="1" ht="16.5">
      <c r="A48" s="524" t="s">
        <v>217</v>
      </c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300"/>
      <c r="M48" s="300"/>
      <c r="N48" s="300">
        <f>ROUND(N47*0.03,2)</f>
        <v>0</v>
      </c>
      <c r="O48" s="300"/>
      <c r="P48" s="301">
        <f>SUM(M48:O48)</f>
        <v>0</v>
      </c>
      <c r="R48" s="303"/>
    </row>
    <row r="49" spans="1:18" s="74" customFormat="1" ht="17.25" thickBot="1">
      <c r="A49" s="518" t="s">
        <v>56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376">
        <f>SUM(L47:L48)</f>
        <v>0</v>
      </c>
      <c r="M49" s="376">
        <f>SUM(M47:M48)</f>
        <v>0</v>
      </c>
      <c r="N49" s="376">
        <f>SUM(N47:N48)</f>
        <v>0</v>
      </c>
      <c r="O49" s="376">
        <f>SUM(O47:O48)</f>
        <v>0</v>
      </c>
      <c r="P49" s="377">
        <f>SUM(M49:O49)</f>
        <v>0</v>
      </c>
      <c r="R49" s="303"/>
    </row>
    <row r="50" spans="1:15" s="78" customFormat="1" ht="16.5">
      <c r="A50" s="75"/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6"/>
      <c r="M50" s="76"/>
      <c r="N50" s="76"/>
      <c r="O50" s="76"/>
    </row>
    <row r="51" spans="1:16" s="80" customFormat="1" ht="15">
      <c r="A51" s="510" t="s">
        <v>82</v>
      </c>
      <c r="B51" s="510"/>
      <c r="C51" s="144"/>
      <c r="D51" s="145"/>
      <c r="E51" s="175"/>
      <c r="F51" s="175"/>
      <c r="G51" s="175"/>
      <c r="H51" s="175"/>
      <c r="I51" s="379"/>
      <c r="J51" s="379"/>
      <c r="K51" s="379"/>
      <c r="L51" s="379"/>
      <c r="M51" s="379"/>
      <c r="N51" s="379"/>
      <c r="O51" s="379"/>
      <c r="P51" s="379"/>
    </row>
    <row r="52" spans="1:16" s="80" customFormat="1" ht="15">
      <c r="A52" s="146"/>
      <c r="B52" s="146"/>
      <c r="C52" s="147" t="s">
        <v>83</v>
      </c>
      <c r="D52" s="148"/>
      <c r="E52" s="150"/>
      <c r="F52" s="150"/>
      <c r="G52" s="150"/>
      <c r="H52" s="150"/>
      <c r="I52" s="379"/>
      <c r="J52" s="379"/>
      <c r="K52" s="379"/>
      <c r="L52" s="379"/>
      <c r="M52" s="379"/>
      <c r="N52" s="379"/>
      <c r="O52" s="379"/>
      <c r="P52" s="379"/>
    </row>
    <row r="53" spans="1:16" s="80" customFormat="1" ht="15">
      <c r="A53" s="146"/>
      <c r="B53" s="146"/>
      <c r="C53" s="146"/>
      <c r="D53" s="146"/>
      <c r="E53" s="150"/>
      <c r="F53" s="150"/>
      <c r="G53" s="150"/>
      <c r="H53" s="150"/>
      <c r="I53" s="379"/>
      <c r="J53" s="379"/>
      <c r="K53" s="379"/>
      <c r="L53" s="379"/>
      <c r="M53" s="379"/>
      <c r="N53" s="379"/>
      <c r="O53" s="379"/>
      <c r="P53" s="379"/>
    </row>
    <row r="54" spans="1:8" ht="15">
      <c r="A54" s="490" t="s">
        <v>84</v>
      </c>
      <c r="B54" s="490"/>
      <c r="C54" s="144"/>
      <c r="D54" s="145"/>
      <c r="E54" s="150"/>
      <c r="F54" s="150"/>
      <c r="G54" s="150"/>
      <c r="H54" s="150"/>
    </row>
  </sheetData>
  <sheetProtection/>
  <mergeCells count="24">
    <mergeCell ref="A1:P1"/>
    <mergeCell ref="A2:P2"/>
    <mergeCell ref="A3:P3"/>
    <mergeCell ref="A5:C5"/>
    <mergeCell ref="D5:P5"/>
    <mergeCell ref="A6:C6"/>
    <mergeCell ref="D6:P6"/>
    <mergeCell ref="A7:C7"/>
    <mergeCell ref="D7:P7"/>
    <mergeCell ref="A8:C8"/>
    <mergeCell ref="D8:P8"/>
    <mergeCell ref="A51:B51"/>
    <mergeCell ref="A9:P9"/>
    <mergeCell ref="O10:P10"/>
    <mergeCell ref="A48:K48"/>
    <mergeCell ref="A49:K49"/>
    <mergeCell ref="A11:P11"/>
    <mergeCell ref="A13:A14"/>
    <mergeCell ref="B13:B14"/>
    <mergeCell ref="C13:C14"/>
    <mergeCell ref="D13:D14"/>
    <mergeCell ref="E13:E14"/>
    <mergeCell ref="F13:K13"/>
    <mergeCell ref="L13:P1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B26" sqref="B26"/>
    </sheetView>
  </sheetViews>
  <sheetFormatPr defaultColWidth="9.28125" defaultRowHeight="15"/>
  <cols>
    <col min="1" max="1" width="9.140625" style="117" customWidth="1"/>
    <col min="2" max="2" width="12.7109375" style="117" customWidth="1"/>
    <col min="3" max="3" width="45.00390625" style="117" customWidth="1"/>
    <col min="4" max="4" width="24.7109375" style="117" customWidth="1"/>
    <col min="5" max="16384" width="9.28125" style="97" customWidth="1"/>
  </cols>
  <sheetData>
    <row r="1" spans="2:4" ht="18">
      <c r="B1" s="118"/>
      <c r="C1" s="118"/>
      <c r="D1" s="118"/>
    </row>
    <row r="2" spans="1:4" ht="20.25">
      <c r="A2" s="501" t="s">
        <v>72</v>
      </c>
      <c r="B2" s="501"/>
      <c r="C2" s="501"/>
      <c r="D2" s="501"/>
    </row>
    <row r="3" spans="1:4" ht="15">
      <c r="A3" s="120"/>
      <c r="B3" s="120"/>
      <c r="C3" s="120"/>
      <c r="D3" s="120"/>
    </row>
    <row r="4" spans="1:4" ht="14.25">
      <c r="A4" s="496" t="s">
        <v>11</v>
      </c>
      <c r="B4" s="496"/>
      <c r="C4" s="499" t="s">
        <v>200</v>
      </c>
      <c r="D4" s="499"/>
    </row>
    <row r="5" spans="1:4" ht="14.25">
      <c r="A5" s="496" t="s">
        <v>12</v>
      </c>
      <c r="B5" s="496"/>
      <c r="C5" s="499" t="s">
        <v>169</v>
      </c>
      <c r="D5" s="499"/>
    </row>
    <row r="6" spans="1:4" ht="14.25">
      <c r="A6" s="500" t="s">
        <v>13</v>
      </c>
      <c r="B6" s="500"/>
      <c r="C6" s="499" t="s">
        <v>201</v>
      </c>
      <c r="D6" s="499"/>
    </row>
    <row r="7" spans="1:4" s="119" customFormat="1" ht="15">
      <c r="A7" s="500" t="s">
        <v>103</v>
      </c>
      <c r="B7" s="500"/>
      <c r="C7" s="500"/>
      <c r="D7" s="500"/>
    </row>
    <row r="8" spans="1:4" ht="14.25">
      <c r="A8" s="122"/>
      <c r="B8" s="123"/>
      <c r="C8" s="123"/>
      <c r="D8" s="123"/>
    </row>
    <row r="9" spans="1:4" ht="15">
      <c r="A9" s="498" t="s">
        <v>351</v>
      </c>
      <c r="B9" s="498"/>
      <c r="C9" s="498"/>
      <c r="D9" s="498"/>
    </row>
    <row r="10" spans="1:4" ht="34.5" customHeight="1">
      <c r="A10" s="124"/>
      <c r="B10" s="124"/>
      <c r="C10" s="124"/>
      <c r="D10" s="125"/>
    </row>
    <row r="11" spans="1:4" s="121" customFormat="1" ht="34.5" customHeight="1">
      <c r="A11" s="126" t="s">
        <v>16</v>
      </c>
      <c r="B11" s="126" t="s">
        <v>73</v>
      </c>
      <c r="C11" s="126" t="s">
        <v>74</v>
      </c>
      <c r="D11" s="126" t="s">
        <v>75</v>
      </c>
    </row>
    <row r="12" spans="1:4" s="121" customFormat="1" ht="17.25" customHeight="1">
      <c r="A12" s="126"/>
      <c r="B12" s="126"/>
      <c r="C12" s="193"/>
      <c r="D12" s="126"/>
    </row>
    <row r="13" spans="1:4" s="121" customFormat="1" ht="39.75" customHeight="1">
      <c r="A13" s="128" t="s">
        <v>76</v>
      </c>
      <c r="B13" s="129"/>
      <c r="C13" s="193" t="s">
        <v>169</v>
      </c>
      <c r="D13" s="131"/>
    </row>
    <row r="14" spans="1:4" s="121" customFormat="1" ht="16.5" customHeight="1">
      <c r="A14" s="132"/>
      <c r="B14" s="129"/>
      <c r="C14" s="130"/>
      <c r="D14" s="131"/>
    </row>
    <row r="15" spans="1:4" s="121" customFormat="1" ht="16.5" customHeight="1">
      <c r="A15" s="133"/>
      <c r="B15" s="134"/>
      <c r="C15" s="135" t="s">
        <v>77</v>
      </c>
      <c r="D15" s="136"/>
    </row>
    <row r="16" spans="1:4" s="121" customFormat="1" ht="17.25" customHeight="1">
      <c r="A16" s="493" t="s">
        <v>99</v>
      </c>
      <c r="B16" s="493"/>
      <c r="C16" s="493"/>
      <c r="D16" s="137"/>
    </row>
    <row r="17" spans="1:4" s="127" customFormat="1" ht="16.5">
      <c r="A17" s="494" t="s">
        <v>77</v>
      </c>
      <c r="B17" s="494"/>
      <c r="C17" s="494"/>
      <c r="D17" s="136"/>
    </row>
    <row r="18" spans="1:4" s="127" customFormat="1" ht="16.5">
      <c r="A18" s="495" t="s">
        <v>136</v>
      </c>
      <c r="B18" s="495"/>
      <c r="C18" s="495"/>
      <c r="D18" s="137"/>
    </row>
    <row r="19" spans="1:4" s="127" customFormat="1" ht="16.5">
      <c r="A19" s="497" t="s">
        <v>78</v>
      </c>
      <c r="B19" s="497"/>
      <c r="C19" s="497"/>
      <c r="D19" s="138"/>
    </row>
    <row r="20" spans="1:4" ht="12.75">
      <c r="A20" s="142"/>
      <c r="B20" s="142"/>
      <c r="C20" s="142"/>
      <c r="D20" s="142"/>
    </row>
    <row r="21" spans="1:4" ht="15.75" customHeight="1">
      <c r="A21" s="143"/>
      <c r="B21" s="143"/>
      <c r="C21" s="143"/>
      <c r="D21" s="143"/>
    </row>
    <row r="22" spans="1:4" ht="15.75" customHeight="1">
      <c r="A22" s="143"/>
      <c r="B22" s="143"/>
      <c r="C22" s="143"/>
      <c r="D22" s="143"/>
    </row>
    <row r="23" spans="1:4" ht="15.75" customHeight="1">
      <c r="A23" s="122"/>
      <c r="B23" s="122" t="s">
        <v>82</v>
      </c>
      <c r="C23" s="144" t="s">
        <v>368</v>
      </c>
      <c r="D23" s="145"/>
    </row>
    <row r="24" spans="1:4" ht="14.25">
      <c r="A24" s="146"/>
      <c r="B24" s="146"/>
      <c r="C24" s="147" t="s">
        <v>83</v>
      </c>
      <c r="D24" s="148"/>
    </row>
    <row r="25" spans="1:4" ht="15.75" customHeight="1">
      <c r="A25" s="146"/>
      <c r="B25" s="146"/>
      <c r="C25" s="146"/>
      <c r="D25" s="146"/>
    </row>
    <row r="26" spans="1:4" ht="14.25">
      <c r="A26" s="122"/>
      <c r="B26" s="149" t="s">
        <v>84</v>
      </c>
      <c r="C26" s="144" t="s">
        <v>367</v>
      </c>
      <c r="D26" s="145"/>
    </row>
  </sheetData>
  <sheetProtection/>
  <mergeCells count="14">
    <mergeCell ref="A5:B5"/>
    <mergeCell ref="C5:D5"/>
    <mergeCell ref="A2:D2"/>
    <mergeCell ref="A4:B4"/>
    <mergeCell ref="C4:D4"/>
    <mergeCell ref="A17:C17"/>
    <mergeCell ref="A18:C18"/>
    <mergeCell ref="A19:C19"/>
    <mergeCell ref="A7:B7"/>
    <mergeCell ref="C7:D7"/>
    <mergeCell ref="A6:B6"/>
    <mergeCell ref="C6:D6"/>
    <mergeCell ref="A9:D9"/>
    <mergeCell ref="A16:C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9">
      <selection activeCell="C31" sqref="C31"/>
    </sheetView>
  </sheetViews>
  <sheetFormatPr defaultColWidth="9.140625" defaultRowHeight="15"/>
  <cols>
    <col min="1" max="1" width="5.7109375" style="150" customWidth="1"/>
    <col min="2" max="2" width="7.8515625" style="150" customWidth="1"/>
    <col min="3" max="3" width="37.421875" style="150" customWidth="1"/>
    <col min="4" max="5" width="12.7109375" style="150" customWidth="1"/>
    <col min="6" max="6" width="12.8515625" style="150" customWidth="1"/>
    <col min="7" max="7" width="13.7109375" style="150" customWidth="1"/>
    <col min="8" max="8" width="11.7109375" style="150" customWidth="1"/>
    <col min="9" max="9" width="11.8515625" style="150" customWidth="1"/>
    <col min="10" max="10" width="12.421875" style="150" customWidth="1"/>
    <col min="11" max="12" width="13.140625" style="150" bestFit="1" customWidth="1"/>
    <col min="13" max="16384" width="9.140625" style="150" customWidth="1"/>
  </cols>
  <sheetData>
    <row r="1" spans="1:8" s="221" customFormat="1" ht="31.5" customHeight="1">
      <c r="A1" s="503" t="s">
        <v>85</v>
      </c>
      <c r="B1" s="503"/>
      <c r="C1" s="503"/>
      <c r="D1" s="503"/>
      <c r="E1" s="503"/>
      <c r="F1" s="503"/>
      <c r="G1" s="503"/>
      <c r="H1" s="503"/>
    </row>
    <row r="2" spans="1:8" ht="35.25" customHeight="1">
      <c r="A2" s="506" t="s">
        <v>169</v>
      </c>
      <c r="B2" s="507"/>
      <c r="C2" s="507"/>
      <c r="D2" s="507"/>
      <c r="E2" s="507"/>
      <c r="F2" s="507"/>
      <c r="G2" s="507"/>
      <c r="H2" s="507"/>
    </row>
    <row r="3" spans="1:8" ht="12.75">
      <c r="A3" s="508" t="s">
        <v>86</v>
      </c>
      <c r="B3" s="508"/>
      <c r="C3" s="508"/>
      <c r="D3" s="508"/>
      <c r="E3" s="508"/>
      <c r="F3" s="508"/>
      <c r="G3" s="508"/>
      <c r="H3" s="508"/>
    </row>
    <row r="5" spans="1:8" s="151" customFormat="1" ht="37.5" customHeight="1">
      <c r="A5" s="504" t="s">
        <v>202</v>
      </c>
      <c r="B5" s="504"/>
      <c r="C5" s="504"/>
      <c r="D5" s="504"/>
      <c r="E5" s="504"/>
      <c r="F5" s="504"/>
      <c r="G5" s="504"/>
      <c r="H5" s="504"/>
    </row>
    <row r="6" spans="1:8" s="151" customFormat="1" ht="37.5" customHeight="1">
      <c r="A6" s="504" t="s">
        <v>203</v>
      </c>
      <c r="B6" s="504"/>
      <c r="C6" s="504"/>
      <c r="D6" s="504"/>
      <c r="E6" s="504"/>
      <c r="F6" s="504"/>
      <c r="G6" s="504"/>
      <c r="H6" s="504"/>
    </row>
    <row r="7" s="152" customFormat="1" ht="15"/>
    <row r="8" spans="1:8" s="155" customFormat="1" ht="15">
      <c r="A8" s="509" t="s">
        <v>87</v>
      </c>
      <c r="B8" s="509"/>
      <c r="C8" s="509"/>
      <c r="D8" s="153"/>
      <c r="E8" s="154"/>
      <c r="F8" s="154"/>
      <c r="G8" s="154"/>
      <c r="H8" s="154"/>
    </row>
    <row r="9" spans="1:8" s="155" customFormat="1" ht="15">
      <c r="A9" s="509" t="s">
        <v>88</v>
      </c>
      <c r="B9" s="509"/>
      <c r="C9" s="509"/>
      <c r="D9" s="156"/>
      <c r="E9" s="154"/>
      <c r="F9" s="154"/>
      <c r="G9" s="154"/>
      <c r="H9" s="154"/>
    </row>
    <row r="10" spans="1:8" ht="12.75">
      <c r="A10" s="157"/>
      <c r="B10" s="157"/>
      <c r="C10" s="157"/>
      <c r="D10" s="157"/>
      <c r="E10" s="157"/>
      <c r="F10" s="157"/>
      <c r="G10" s="157"/>
      <c r="H10" s="157"/>
    </row>
    <row r="11" spans="1:8" s="155" customFormat="1" ht="15">
      <c r="A11" s="505" t="s">
        <v>89</v>
      </c>
      <c r="B11" s="505" t="s">
        <v>90</v>
      </c>
      <c r="C11" s="505" t="s">
        <v>91</v>
      </c>
      <c r="D11" s="505" t="s">
        <v>75</v>
      </c>
      <c r="E11" s="505" t="s">
        <v>92</v>
      </c>
      <c r="F11" s="505"/>
      <c r="G11" s="505"/>
      <c r="H11" s="505" t="s">
        <v>93</v>
      </c>
    </row>
    <row r="12" spans="1:11" s="155" customFormat="1" ht="45.75" customHeight="1">
      <c r="A12" s="505"/>
      <c r="B12" s="505"/>
      <c r="C12" s="505"/>
      <c r="D12" s="505"/>
      <c r="E12" s="158" t="s">
        <v>94</v>
      </c>
      <c r="F12" s="158" t="s">
        <v>95</v>
      </c>
      <c r="G12" s="158" t="s">
        <v>96</v>
      </c>
      <c r="H12" s="505"/>
      <c r="K12" s="271"/>
    </row>
    <row r="13" spans="1:11" s="161" customFormat="1" ht="15">
      <c r="A13" s="159"/>
      <c r="B13" s="159"/>
      <c r="C13" s="224" t="s">
        <v>218</v>
      </c>
      <c r="D13" s="160"/>
      <c r="E13" s="160"/>
      <c r="F13" s="160"/>
      <c r="G13" s="160"/>
      <c r="H13" s="160"/>
      <c r="K13" s="272"/>
    </row>
    <row r="14" spans="1:11" s="161" customFormat="1" ht="18" customHeight="1">
      <c r="A14" s="159">
        <v>1</v>
      </c>
      <c r="B14" s="159">
        <v>1</v>
      </c>
      <c r="C14" s="162" t="s">
        <v>9</v>
      </c>
      <c r="D14" s="160"/>
      <c r="E14" s="160"/>
      <c r="F14" s="160"/>
      <c r="G14" s="160"/>
      <c r="H14" s="160"/>
      <c r="I14" s="260"/>
      <c r="J14" s="513"/>
      <c r="K14" s="511"/>
    </row>
    <row r="15" spans="1:11" s="161" customFormat="1" ht="18" customHeight="1">
      <c r="A15" s="159">
        <v>2</v>
      </c>
      <c r="B15" s="159">
        <v>2</v>
      </c>
      <c r="C15" s="162" t="s">
        <v>65</v>
      </c>
      <c r="D15" s="160"/>
      <c r="E15" s="160"/>
      <c r="F15" s="160"/>
      <c r="G15" s="160"/>
      <c r="H15" s="160"/>
      <c r="I15" s="260"/>
      <c r="J15" s="513"/>
      <c r="K15" s="511"/>
    </row>
    <row r="16" spans="1:11" s="161" customFormat="1" ht="18" customHeight="1">
      <c r="A16" s="159">
        <v>3</v>
      </c>
      <c r="B16" s="159">
        <v>3</v>
      </c>
      <c r="C16" s="162" t="s">
        <v>70</v>
      </c>
      <c r="D16" s="160"/>
      <c r="E16" s="160"/>
      <c r="F16" s="160"/>
      <c r="G16" s="160"/>
      <c r="H16" s="160"/>
      <c r="I16" s="260"/>
      <c r="J16" s="513"/>
      <c r="K16" s="511"/>
    </row>
    <row r="17" spans="1:11" s="161" customFormat="1" ht="18" customHeight="1" hidden="1">
      <c r="A17" s="159"/>
      <c r="B17" s="159"/>
      <c r="C17" s="162"/>
      <c r="D17" s="160"/>
      <c r="E17" s="160"/>
      <c r="F17" s="160"/>
      <c r="G17" s="160"/>
      <c r="H17" s="160"/>
      <c r="I17" s="260"/>
      <c r="J17" s="513"/>
      <c r="K17" s="511"/>
    </row>
    <row r="18" spans="1:11" s="161" customFormat="1" ht="18" customHeight="1" hidden="1">
      <c r="A18" s="159"/>
      <c r="B18" s="159"/>
      <c r="C18" s="162"/>
      <c r="D18" s="160"/>
      <c r="E18" s="160"/>
      <c r="F18" s="160"/>
      <c r="G18" s="160"/>
      <c r="H18" s="160"/>
      <c r="I18" s="260"/>
      <c r="J18" s="260"/>
      <c r="K18" s="272"/>
    </row>
    <row r="19" spans="1:11" s="161" customFormat="1" ht="30" customHeight="1">
      <c r="A19" s="159">
        <v>4</v>
      </c>
      <c r="B19" s="159">
        <v>4</v>
      </c>
      <c r="C19" s="162" t="s">
        <v>332</v>
      </c>
      <c r="D19" s="160"/>
      <c r="E19" s="160"/>
      <c r="F19" s="160"/>
      <c r="G19" s="160"/>
      <c r="H19" s="160"/>
      <c r="I19" s="260"/>
      <c r="J19" s="260"/>
      <c r="K19" s="272"/>
    </row>
    <row r="20" spans="1:11" s="161" customFormat="1" ht="18" customHeight="1">
      <c r="A20" s="159">
        <v>5</v>
      </c>
      <c r="B20" s="159">
        <v>5</v>
      </c>
      <c r="C20" s="162" t="s">
        <v>333</v>
      </c>
      <c r="D20" s="160"/>
      <c r="E20" s="160"/>
      <c r="F20" s="160"/>
      <c r="G20" s="160"/>
      <c r="H20" s="160"/>
      <c r="I20" s="260"/>
      <c r="J20" s="260"/>
      <c r="K20" s="272"/>
    </row>
    <row r="21" spans="1:11" s="161" customFormat="1" ht="18" customHeight="1">
      <c r="A21" s="159">
        <v>6</v>
      </c>
      <c r="B21" s="159">
        <v>6</v>
      </c>
      <c r="C21" s="162" t="s">
        <v>334</v>
      </c>
      <c r="D21" s="160"/>
      <c r="E21" s="160"/>
      <c r="F21" s="160"/>
      <c r="G21" s="160"/>
      <c r="H21" s="160"/>
      <c r="I21" s="260"/>
      <c r="K21" s="272"/>
    </row>
    <row r="22" spans="1:11" s="161" customFormat="1" ht="14.25">
      <c r="A22" s="163"/>
      <c r="B22" s="163"/>
      <c r="C22" s="164"/>
      <c r="D22" s="165"/>
      <c r="E22" s="165"/>
      <c r="F22" s="165"/>
      <c r="G22" s="165"/>
      <c r="H22" s="165"/>
      <c r="I22" s="260"/>
      <c r="J22" s="260"/>
      <c r="K22" s="272"/>
    </row>
    <row r="23" spans="1:11" ht="15">
      <c r="A23" s="515" t="s">
        <v>97</v>
      </c>
      <c r="B23" s="515"/>
      <c r="C23" s="515"/>
      <c r="D23" s="166"/>
      <c r="E23" s="166"/>
      <c r="F23" s="166"/>
      <c r="G23" s="166"/>
      <c r="H23" s="166"/>
      <c r="I23" s="261"/>
      <c r="J23" s="261"/>
      <c r="K23" s="272"/>
    </row>
    <row r="24" spans="1:11" s="169" customFormat="1" ht="18" customHeight="1">
      <c r="A24" s="516" t="s">
        <v>216</v>
      </c>
      <c r="B24" s="516"/>
      <c r="C24" s="516"/>
      <c r="D24" s="167"/>
      <c r="E24" s="168"/>
      <c r="F24" s="168"/>
      <c r="G24" s="168"/>
      <c r="H24" s="168"/>
      <c r="K24" s="273"/>
    </row>
    <row r="25" spans="1:11" s="169" customFormat="1" ht="18" customHeight="1">
      <c r="A25" s="512" t="s">
        <v>214</v>
      </c>
      <c r="B25" s="512"/>
      <c r="C25" s="512"/>
      <c r="D25" s="170"/>
      <c r="E25" s="168"/>
      <c r="F25" s="168"/>
      <c r="G25" s="168"/>
      <c r="H25" s="168"/>
      <c r="K25" s="273"/>
    </row>
    <row r="26" spans="1:11" s="169" customFormat="1" ht="14.25">
      <c r="A26" s="512" t="s">
        <v>98</v>
      </c>
      <c r="B26" s="512"/>
      <c r="C26" s="512"/>
      <c r="D26" s="170"/>
      <c r="E26" s="168"/>
      <c r="F26" s="168"/>
      <c r="G26" s="168"/>
      <c r="H26" s="168"/>
      <c r="K26" s="273"/>
    </row>
    <row r="27" spans="1:11" s="169" customFormat="1" ht="16.5" customHeight="1">
      <c r="A27" s="502" t="s">
        <v>215</v>
      </c>
      <c r="B27" s="502"/>
      <c r="C27" s="502"/>
      <c r="D27" s="302"/>
      <c r="E27" s="171"/>
      <c r="F27" s="172"/>
      <c r="G27" s="168"/>
      <c r="H27" s="168"/>
      <c r="K27" s="273"/>
    </row>
    <row r="28" spans="1:11" s="169" customFormat="1" ht="14.25">
      <c r="A28" s="514"/>
      <c r="B28" s="514"/>
      <c r="C28" s="514"/>
      <c r="D28" s="174"/>
      <c r="E28" s="175"/>
      <c r="F28" s="175"/>
      <c r="G28" s="175"/>
      <c r="H28" s="175"/>
      <c r="I28" s="173"/>
      <c r="K28" s="273"/>
    </row>
    <row r="29" spans="1:11" s="173" customFormat="1" ht="14.25">
      <c r="A29" s="510" t="s">
        <v>82</v>
      </c>
      <c r="B29" s="510"/>
      <c r="C29" s="144"/>
      <c r="D29" s="145"/>
      <c r="E29" s="175"/>
      <c r="F29" s="175"/>
      <c r="G29" s="175"/>
      <c r="H29" s="175"/>
      <c r="K29" s="274"/>
    </row>
    <row r="30" spans="1:11" s="173" customFormat="1" ht="14.25">
      <c r="A30" s="146"/>
      <c r="B30" s="146"/>
      <c r="C30" s="147" t="s">
        <v>83</v>
      </c>
      <c r="D30" s="148"/>
      <c r="E30" s="150"/>
      <c r="F30" s="150"/>
      <c r="G30" s="150"/>
      <c r="H30" s="150"/>
      <c r="I30" s="150"/>
      <c r="K30" s="274"/>
    </row>
    <row r="31" spans="1:4" ht="14.25">
      <c r="A31" s="122"/>
      <c r="B31" s="149" t="s">
        <v>84</v>
      </c>
      <c r="C31" s="144"/>
      <c r="D31" s="145"/>
    </row>
    <row r="54" spans="1:9" ht="12.75">
      <c r="A54" s="284"/>
      <c r="B54" s="284"/>
      <c r="C54" s="284"/>
      <c r="D54" s="284"/>
      <c r="E54" s="284"/>
      <c r="F54" s="284"/>
      <c r="G54" s="284"/>
      <c r="H54" s="284"/>
      <c r="I54" s="284"/>
    </row>
    <row r="55" spans="1:9" ht="12.75">
      <c r="A55" s="284"/>
      <c r="B55" s="284"/>
      <c r="C55" s="284"/>
      <c r="D55" s="284"/>
      <c r="E55" s="284"/>
      <c r="F55" s="284"/>
      <c r="G55" s="284"/>
      <c r="H55" s="284"/>
      <c r="I55" s="284"/>
    </row>
    <row r="56" spans="1:16" ht="12.75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</row>
    <row r="57" spans="10:16" ht="12.75">
      <c r="J57" s="284"/>
      <c r="K57" s="284"/>
      <c r="L57" s="284"/>
      <c r="M57" s="284"/>
      <c r="N57" s="284"/>
      <c r="O57" s="284"/>
      <c r="P57" s="284"/>
    </row>
    <row r="58" spans="10:16" ht="12.75">
      <c r="J58" s="284"/>
      <c r="K58" s="284"/>
      <c r="L58" s="284"/>
      <c r="M58" s="284"/>
      <c r="N58" s="284"/>
      <c r="O58" s="284"/>
      <c r="P58" s="284"/>
    </row>
    <row r="77" spans="1:9" ht="12.75">
      <c r="A77" s="284"/>
      <c r="B77" s="284"/>
      <c r="C77" s="284"/>
      <c r="D77" s="284"/>
      <c r="E77" s="284"/>
      <c r="F77" s="284"/>
      <c r="G77" s="284"/>
      <c r="H77" s="284"/>
      <c r="I77" s="284"/>
    </row>
    <row r="78" spans="1:9" ht="12.75">
      <c r="A78" s="284"/>
      <c r="B78" s="284"/>
      <c r="C78" s="284"/>
      <c r="D78" s="284"/>
      <c r="E78" s="284"/>
      <c r="F78" s="284"/>
      <c r="G78" s="284"/>
      <c r="H78" s="284"/>
      <c r="I78" s="284"/>
    </row>
    <row r="79" spans="10:16" ht="12.75">
      <c r="J79" s="284"/>
      <c r="K79" s="284"/>
      <c r="L79" s="284"/>
      <c r="M79" s="284"/>
      <c r="N79" s="284"/>
      <c r="O79" s="284"/>
      <c r="P79" s="284"/>
    </row>
    <row r="80" spans="10:16" ht="12.75">
      <c r="J80" s="284"/>
      <c r="K80" s="284"/>
      <c r="L80" s="284"/>
      <c r="M80" s="284"/>
      <c r="N80" s="284"/>
      <c r="O80" s="284"/>
      <c r="P80" s="284"/>
    </row>
  </sheetData>
  <sheetProtection/>
  <mergeCells count="22">
    <mergeCell ref="A24:C24"/>
    <mergeCell ref="A26:C26"/>
    <mergeCell ref="A3:H3"/>
    <mergeCell ref="A5:H5"/>
    <mergeCell ref="A9:C9"/>
    <mergeCell ref="A29:B29"/>
    <mergeCell ref="K14:K17"/>
    <mergeCell ref="A25:C25"/>
    <mergeCell ref="A8:C8"/>
    <mergeCell ref="J14:J17"/>
    <mergeCell ref="A28:C28"/>
    <mergeCell ref="A23:C23"/>
    <mergeCell ref="A27:C27"/>
    <mergeCell ref="A1:H1"/>
    <mergeCell ref="A6:H6"/>
    <mergeCell ref="B11:B12"/>
    <mergeCell ref="C11:C12"/>
    <mergeCell ref="D11:D12"/>
    <mergeCell ref="A11:A12"/>
    <mergeCell ref="E11:G11"/>
    <mergeCell ref="H11:H12"/>
    <mergeCell ref="A2:H2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77"/>
  <sheetViews>
    <sheetView showZeros="0" zoomScale="85" zoomScaleNormal="85" zoomScalePageLayoutView="0" workbookViewId="0" topLeftCell="A64">
      <selection activeCell="A77" sqref="A77:P77"/>
    </sheetView>
  </sheetViews>
  <sheetFormatPr defaultColWidth="7.7109375" defaultRowHeight="15"/>
  <cols>
    <col min="1" max="1" width="5.7109375" style="80" customWidth="1"/>
    <col min="2" max="2" width="5.28125" style="80" customWidth="1"/>
    <col min="3" max="3" width="41.421875" style="80" customWidth="1"/>
    <col min="4" max="4" width="7.7109375" style="80" customWidth="1"/>
    <col min="5" max="5" width="8.421875" style="81" customWidth="1"/>
    <col min="6" max="6" width="8.28125" style="80" customWidth="1"/>
    <col min="7" max="7" width="9.140625" style="82" customWidth="1"/>
    <col min="8" max="11" width="9.140625" style="80" customWidth="1"/>
    <col min="12" max="13" width="8.8515625" style="80" customWidth="1"/>
    <col min="14" max="14" width="10.00390625" style="80" customWidth="1"/>
    <col min="15" max="15" width="8.8515625" style="80" customWidth="1"/>
    <col min="16" max="16" width="9.7109375" style="80" customWidth="1"/>
    <col min="17" max="20" width="9.140625" style="80" hidden="1" customWidth="1"/>
    <col min="21" max="216" width="9.140625" style="80" customWidth="1"/>
    <col min="217" max="237" width="7.140625" style="80" customWidth="1"/>
    <col min="238" max="238" width="5.7109375" style="80" customWidth="1"/>
    <col min="239" max="239" width="5.28125" style="80" customWidth="1"/>
    <col min="240" max="240" width="39.8515625" style="80" customWidth="1"/>
    <col min="241" max="16384" width="7.7109375" style="80" customWidth="1"/>
  </cols>
  <sheetData>
    <row r="1" spans="1:16" s="1" customFormat="1" ht="18">
      <c r="A1" s="527" t="s">
        <v>66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7.25" customHeight="1">
      <c r="A2" s="528" t="s">
        <v>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0.5" customHeight="1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 customHeight="1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82" customFormat="1" ht="16.5" customHeight="1">
      <c r="A8" s="519"/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6" customFormat="1" ht="16.5">
      <c r="A9" s="532"/>
      <c r="B9" s="532"/>
      <c r="C9" s="532"/>
      <c r="D9" s="13"/>
      <c r="E9" s="13"/>
      <c r="F9" s="14"/>
      <c r="G9" s="13"/>
      <c r="H9" s="13"/>
      <c r="I9" s="13"/>
      <c r="J9" s="13"/>
      <c r="K9" s="13"/>
      <c r="L9" s="14"/>
      <c r="M9" s="15"/>
      <c r="N9" s="15"/>
      <c r="O9" s="15"/>
      <c r="P9" s="15"/>
    </row>
    <row r="10" spans="1:16" s="16" customFormat="1" ht="16.5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P71</f>
        <v>0</v>
      </c>
      <c r="P10" s="531"/>
    </row>
    <row r="11" spans="1:16" s="11" customFormat="1" ht="16.5">
      <c r="A11" s="525" t="s">
        <v>371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11" customFormat="1" ht="16.5" customHeight="1">
      <c r="A12" s="526"/>
      <c r="B12" s="526"/>
      <c r="C12" s="526"/>
      <c r="D12" s="526"/>
      <c r="E12" s="20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3"/>
    </row>
    <row r="13" spans="1:16" s="28" customFormat="1" ht="16.5">
      <c r="A13" s="24"/>
      <c r="B13" s="24"/>
      <c r="C13" s="25"/>
      <c r="D13" s="25"/>
      <c r="E13" s="26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</row>
    <row r="14" spans="1:16" s="31" customFormat="1" ht="12.75" customHeight="1">
      <c r="A14" s="517" t="s">
        <v>16</v>
      </c>
      <c r="B14" s="517" t="s">
        <v>17</v>
      </c>
      <c r="C14" s="533" t="s">
        <v>18</v>
      </c>
      <c r="D14" s="517" t="s">
        <v>19</v>
      </c>
      <c r="E14" s="517" t="s">
        <v>20</v>
      </c>
      <c r="F14" s="517" t="s">
        <v>21</v>
      </c>
      <c r="G14" s="517"/>
      <c r="H14" s="517"/>
      <c r="I14" s="517"/>
      <c r="J14" s="517"/>
      <c r="K14" s="517"/>
      <c r="L14" s="517" t="s">
        <v>22</v>
      </c>
      <c r="M14" s="517"/>
      <c r="N14" s="517"/>
      <c r="O14" s="517"/>
      <c r="P14" s="517"/>
    </row>
    <row r="15" spans="1:16" s="31" customFormat="1" ht="51">
      <c r="A15" s="517"/>
      <c r="B15" s="517"/>
      <c r="C15" s="533"/>
      <c r="D15" s="517"/>
      <c r="E15" s="517"/>
      <c r="F15" s="29" t="s">
        <v>23</v>
      </c>
      <c r="G15" s="29" t="s">
        <v>24</v>
      </c>
      <c r="H15" s="29" t="s">
        <v>25</v>
      </c>
      <c r="I15" s="29" t="s">
        <v>26</v>
      </c>
      <c r="J15" s="29" t="s">
        <v>27</v>
      </c>
      <c r="K15" s="29" t="s">
        <v>28</v>
      </c>
      <c r="L15" s="29" t="s">
        <v>29</v>
      </c>
      <c r="M15" s="29" t="s">
        <v>30</v>
      </c>
      <c r="N15" s="29" t="s">
        <v>31</v>
      </c>
      <c r="O15" s="29" t="s">
        <v>32</v>
      </c>
      <c r="P15" s="29" t="s">
        <v>33</v>
      </c>
    </row>
    <row r="16" spans="1:16" s="31" customFormat="1" ht="12.75" customHeight="1">
      <c r="A16" s="30">
        <v>1</v>
      </c>
      <c r="B16" s="30"/>
      <c r="C16" s="32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0">
        <v>12</v>
      </c>
      <c r="N16" s="30">
        <v>13</v>
      </c>
      <c r="O16" s="30">
        <v>14</v>
      </c>
      <c r="P16" s="30">
        <v>15</v>
      </c>
    </row>
    <row r="17" spans="1:16" s="37" customFormat="1" ht="16.5">
      <c r="A17" s="33"/>
      <c r="B17" s="33"/>
      <c r="C17" s="33" t="s">
        <v>62</v>
      </c>
      <c r="D17" s="34"/>
      <c r="E17" s="34"/>
      <c r="F17" s="33"/>
      <c r="G17" s="35"/>
      <c r="H17" s="33">
        <f>ROUND(F17*G17,2)</f>
        <v>0</v>
      </c>
      <c r="I17" s="33"/>
      <c r="J17" s="33"/>
      <c r="K17" s="36">
        <f>SUM(H17:J17)</f>
        <v>0</v>
      </c>
      <c r="L17" s="36">
        <f>ROUND(E17*F17,2)</f>
        <v>0</v>
      </c>
      <c r="M17" s="36">
        <f>ROUND(E17*H17,2)</f>
        <v>0</v>
      </c>
      <c r="N17" s="36">
        <f>ROUND(E17*I17,2)</f>
        <v>0</v>
      </c>
      <c r="O17" s="36">
        <f>ROUND(E17*J17,2)</f>
        <v>0</v>
      </c>
      <c r="P17" s="36">
        <f>SUM(M17:O17)</f>
        <v>0</v>
      </c>
    </row>
    <row r="18" spans="1:16" s="44" customFormat="1" ht="33.75" customHeight="1">
      <c r="A18" s="38">
        <v>1</v>
      </c>
      <c r="B18" s="39"/>
      <c r="C18" s="40" t="s">
        <v>35</v>
      </c>
      <c r="D18" s="41" t="s">
        <v>34</v>
      </c>
      <c r="E18" s="42">
        <f>E19+E56</f>
        <v>1367</v>
      </c>
      <c r="F18" s="42"/>
      <c r="G18" s="35"/>
      <c r="H18" s="43"/>
      <c r="I18" s="43"/>
      <c r="J18" s="43"/>
      <c r="K18" s="36"/>
      <c r="L18" s="36"/>
      <c r="M18" s="36"/>
      <c r="N18" s="36"/>
      <c r="O18" s="36"/>
      <c r="P18" s="36"/>
    </row>
    <row r="19" spans="1:16" s="44" customFormat="1" ht="16.5">
      <c r="A19" s="38">
        <f>A18+1</f>
        <v>2</v>
      </c>
      <c r="B19" s="39"/>
      <c r="C19" s="47" t="s">
        <v>165</v>
      </c>
      <c r="D19" s="41" t="s">
        <v>34</v>
      </c>
      <c r="E19" s="42">
        <v>1275</v>
      </c>
      <c r="F19" s="42"/>
      <c r="G19" s="35"/>
      <c r="H19" s="43"/>
      <c r="I19" s="43"/>
      <c r="J19" s="43"/>
      <c r="K19" s="36"/>
      <c r="L19" s="36"/>
      <c r="M19" s="36"/>
      <c r="N19" s="36"/>
      <c r="O19" s="36"/>
      <c r="P19" s="36"/>
    </row>
    <row r="20" spans="1:16" s="85" customFormat="1" ht="33">
      <c r="A20" s="51">
        <f>A19+1</f>
        <v>3</v>
      </c>
      <c r="B20" s="96"/>
      <c r="C20" s="47" t="s">
        <v>170</v>
      </c>
      <c r="D20" s="52" t="s">
        <v>34</v>
      </c>
      <c r="E20" s="48">
        <f>E18*0.3</f>
        <v>410.1</v>
      </c>
      <c r="F20" s="181"/>
      <c r="G20" s="49"/>
      <c r="H20" s="43"/>
      <c r="I20" s="49"/>
      <c r="J20" s="49"/>
      <c r="K20" s="36"/>
      <c r="L20" s="36"/>
      <c r="M20" s="36"/>
      <c r="N20" s="36"/>
      <c r="O20" s="36"/>
      <c r="P20" s="36"/>
    </row>
    <row r="21" spans="1:16" s="85" customFormat="1" ht="16.5">
      <c r="A21" s="51"/>
      <c r="B21" s="96"/>
      <c r="C21" s="177" t="s">
        <v>102</v>
      </c>
      <c r="D21" s="52" t="s">
        <v>36</v>
      </c>
      <c r="E21" s="48">
        <f>E20*0.2</f>
        <v>82.02</v>
      </c>
      <c r="F21" s="181"/>
      <c r="G21" s="49"/>
      <c r="H21" s="49"/>
      <c r="I21" s="49"/>
      <c r="J21" s="49"/>
      <c r="K21" s="36"/>
      <c r="L21" s="36"/>
      <c r="M21" s="36"/>
      <c r="N21" s="36"/>
      <c r="O21" s="36"/>
      <c r="P21" s="36"/>
    </row>
    <row r="22" spans="1:16" s="85" customFormat="1" ht="16.5">
      <c r="A22" s="51"/>
      <c r="B22" s="96"/>
      <c r="C22" s="177" t="s">
        <v>134</v>
      </c>
      <c r="D22" s="52" t="s">
        <v>50</v>
      </c>
      <c r="E22" s="48">
        <f>E20*0.03</f>
        <v>12.3</v>
      </c>
      <c r="F22" s="181"/>
      <c r="G22" s="49"/>
      <c r="H22" s="49"/>
      <c r="I22" s="49"/>
      <c r="J22" s="49"/>
      <c r="K22" s="36"/>
      <c r="L22" s="36"/>
      <c r="M22" s="36"/>
      <c r="N22" s="36"/>
      <c r="O22" s="36"/>
      <c r="P22" s="36"/>
    </row>
    <row r="23" spans="1:16" s="85" customFormat="1" ht="16.5">
      <c r="A23" s="51">
        <f>A20+1</f>
        <v>4</v>
      </c>
      <c r="B23" s="96"/>
      <c r="C23" s="47" t="s">
        <v>148</v>
      </c>
      <c r="D23" s="52" t="s">
        <v>38</v>
      </c>
      <c r="E23" s="48">
        <v>70</v>
      </c>
      <c r="F23" s="181"/>
      <c r="G23" s="49"/>
      <c r="H23" s="49"/>
      <c r="I23" s="49"/>
      <c r="J23" s="49"/>
      <c r="K23" s="36"/>
      <c r="L23" s="36"/>
      <c r="M23" s="36"/>
      <c r="N23" s="36"/>
      <c r="O23" s="36"/>
      <c r="P23" s="36"/>
    </row>
    <row r="24" spans="1:16" s="44" customFormat="1" ht="33">
      <c r="A24" s="38">
        <v>5</v>
      </c>
      <c r="B24" s="39"/>
      <c r="C24" s="40" t="s">
        <v>142</v>
      </c>
      <c r="D24" s="41" t="s">
        <v>34</v>
      </c>
      <c r="E24" s="42">
        <f>E19</f>
        <v>1275</v>
      </c>
      <c r="F24" s="42"/>
      <c r="G24" s="35"/>
      <c r="H24" s="43"/>
      <c r="I24" s="43"/>
      <c r="J24" s="43"/>
      <c r="K24" s="36"/>
      <c r="L24" s="36"/>
      <c r="M24" s="36"/>
      <c r="N24" s="36"/>
      <c r="O24" s="36"/>
      <c r="P24" s="36"/>
    </row>
    <row r="25" spans="1:16" s="44" customFormat="1" ht="16.5">
      <c r="A25" s="38"/>
      <c r="B25" s="39"/>
      <c r="C25" s="45" t="s">
        <v>141</v>
      </c>
      <c r="D25" s="41" t="s">
        <v>44</v>
      </c>
      <c r="E25" s="42">
        <f>ROUND(E24*0.2,2)</f>
        <v>255</v>
      </c>
      <c r="F25" s="42"/>
      <c r="G25" s="35"/>
      <c r="H25" s="43"/>
      <c r="I25" s="43"/>
      <c r="J25" s="43"/>
      <c r="K25" s="36"/>
      <c r="L25" s="36"/>
      <c r="M25" s="36"/>
      <c r="N25" s="36"/>
      <c r="O25" s="36"/>
      <c r="P25" s="36"/>
    </row>
    <row r="26" spans="1:18" s="44" customFormat="1" ht="49.5">
      <c r="A26" s="277">
        <v>6</v>
      </c>
      <c r="B26" s="39"/>
      <c r="C26" s="40" t="s">
        <v>211</v>
      </c>
      <c r="D26" s="41" t="s">
        <v>34</v>
      </c>
      <c r="E26" s="42">
        <f>E19</f>
        <v>1275</v>
      </c>
      <c r="F26" s="42"/>
      <c r="G26" s="35"/>
      <c r="H26" s="43"/>
      <c r="I26" s="43"/>
      <c r="J26" s="43"/>
      <c r="K26" s="36"/>
      <c r="L26" s="36"/>
      <c r="M26" s="36"/>
      <c r="N26" s="36"/>
      <c r="O26" s="36"/>
      <c r="P26" s="36"/>
      <c r="R26" s="267">
        <f>SUM(P26:P44)/E26</f>
        <v>0</v>
      </c>
    </row>
    <row r="27" spans="1:18" s="44" customFormat="1" ht="33">
      <c r="A27" s="277"/>
      <c r="B27" s="39"/>
      <c r="C27" s="279" t="s">
        <v>210</v>
      </c>
      <c r="D27" s="41" t="s">
        <v>34</v>
      </c>
      <c r="E27" s="42">
        <f>E26*1.03</f>
        <v>1313.25</v>
      </c>
      <c r="F27" s="42"/>
      <c r="G27" s="35"/>
      <c r="H27" s="43"/>
      <c r="I27" s="294"/>
      <c r="J27" s="43"/>
      <c r="K27" s="36"/>
      <c r="L27" s="36"/>
      <c r="M27" s="36"/>
      <c r="N27" s="36"/>
      <c r="O27" s="36"/>
      <c r="P27" s="36"/>
      <c r="R27" s="268">
        <f>(9.6*E27*1.05)*1.14*1.21</f>
        <v>18259.890264</v>
      </c>
    </row>
    <row r="28" spans="1:18" s="44" customFormat="1" ht="16.5">
      <c r="A28" s="277"/>
      <c r="B28" s="39"/>
      <c r="C28" s="45" t="s">
        <v>37</v>
      </c>
      <c r="D28" s="41" t="s">
        <v>38</v>
      </c>
      <c r="E28" s="42">
        <v>95</v>
      </c>
      <c r="F28" s="42"/>
      <c r="G28" s="35"/>
      <c r="H28" s="43"/>
      <c r="I28" s="43"/>
      <c r="J28" s="43"/>
      <c r="K28" s="36"/>
      <c r="L28" s="36"/>
      <c r="M28" s="36"/>
      <c r="N28" s="36"/>
      <c r="O28" s="36"/>
      <c r="P28" s="36"/>
      <c r="R28" s="268">
        <f>(I27*E27*1.05)*1.14*1.21</f>
        <v>0</v>
      </c>
    </row>
    <row r="29" spans="1:18" s="44" customFormat="1" ht="16.5">
      <c r="A29" s="277"/>
      <c r="B29" s="39"/>
      <c r="C29" s="45" t="s">
        <v>173</v>
      </c>
      <c r="D29" s="41" t="s">
        <v>39</v>
      </c>
      <c r="E29" s="42">
        <f>ROUND(2*E28,2)</f>
        <v>190</v>
      </c>
      <c r="F29" s="42"/>
      <c r="G29" s="35"/>
      <c r="H29" s="43"/>
      <c r="I29" s="43"/>
      <c r="J29" s="43"/>
      <c r="K29" s="36"/>
      <c r="L29" s="36"/>
      <c r="M29" s="36"/>
      <c r="N29" s="36"/>
      <c r="O29" s="36"/>
      <c r="P29" s="36"/>
      <c r="R29" s="269">
        <f>R27-R28</f>
        <v>18259.9</v>
      </c>
    </row>
    <row r="30" spans="1:16" s="44" customFormat="1" ht="16.5">
      <c r="A30" s="277"/>
      <c r="B30" s="39"/>
      <c r="C30" s="45" t="s">
        <v>40</v>
      </c>
      <c r="D30" s="41" t="s">
        <v>36</v>
      </c>
      <c r="E30" s="42">
        <f>ROUND(10*E26,2)</f>
        <v>12750</v>
      </c>
      <c r="F30" s="42"/>
      <c r="G30" s="35"/>
      <c r="H30" s="43"/>
      <c r="I30" s="43"/>
      <c r="J30" s="43"/>
      <c r="K30" s="36"/>
      <c r="L30" s="36"/>
      <c r="M30" s="36"/>
      <c r="N30" s="36"/>
      <c r="O30" s="36"/>
      <c r="P30" s="36"/>
    </row>
    <row r="31" spans="1:16" s="270" customFormat="1" ht="33">
      <c r="A31" s="277"/>
      <c r="B31" s="278"/>
      <c r="C31" s="279" t="s">
        <v>185</v>
      </c>
      <c r="D31" s="280" t="s">
        <v>39</v>
      </c>
      <c r="E31" s="281">
        <f>ROUND(6*E26,2)</f>
        <v>7650</v>
      </c>
      <c r="F31" s="281"/>
      <c r="G31" s="98"/>
      <c r="H31" s="282"/>
      <c r="I31" s="282"/>
      <c r="J31" s="282"/>
      <c r="K31" s="36"/>
      <c r="L31" s="283"/>
      <c r="M31" s="283"/>
      <c r="N31" s="36"/>
      <c r="O31" s="283"/>
      <c r="P31" s="36"/>
    </row>
    <row r="32" spans="1:16" s="44" customFormat="1" ht="16.5">
      <c r="A32" s="38">
        <v>7</v>
      </c>
      <c r="B32" s="39"/>
      <c r="C32" s="40" t="s">
        <v>171</v>
      </c>
      <c r="D32" s="41" t="s">
        <v>34</v>
      </c>
      <c r="E32" s="42">
        <v>87.2</v>
      </c>
      <c r="F32" s="42"/>
      <c r="G32" s="35"/>
      <c r="H32" s="43"/>
      <c r="I32" s="43"/>
      <c r="J32" s="43"/>
      <c r="K32" s="36"/>
      <c r="L32" s="36"/>
      <c r="M32" s="36"/>
      <c r="N32" s="36"/>
      <c r="O32" s="36"/>
      <c r="P32" s="36"/>
    </row>
    <row r="33" spans="1:16" s="109" customFormat="1" ht="17.25" customHeight="1">
      <c r="A33" s="196"/>
      <c r="B33" s="220"/>
      <c r="C33" s="195" t="s">
        <v>206</v>
      </c>
      <c r="D33" s="196" t="s">
        <v>36</v>
      </c>
      <c r="E33" s="197">
        <f>0.2*E32</f>
        <v>17.44</v>
      </c>
      <c r="F33" s="48"/>
      <c r="G33" s="48"/>
      <c r="H33" s="49"/>
      <c r="I33" s="48"/>
      <c r="J33" s="48"/>
      <c r="K33" s="36"/>
      <c r="L33" s="36"/>
      <c r="M33" s="36"/>
      <c r="N33" s="36"/>
      <c r="O33" s="36"/>
      <c r="P33" s="36"/>
    </row>
    <row r="34" spans="1:16" s="44" customFormat="1" ht="33">
      <c r="A34" s="38"/>
      <c r="B34" s="39"/>
      <c r="C34" s="45" t="s">
        <v>172</v>
      </c>
      <c r="D34" s="41" t="s">
        <v>34</v>
      </c>
      <c r="E34" s="42">
        <f>ROUND(1.05*E32,2)</f>
        <v>91.56</v>
      </c>
      <c r="F34" s="42"/>
      <c r="G34" s="35"/>
      <c r="H34" s="43"/>
      <c r="I34" s="43"/>
      <c r="J34" s="43"/>
      <c r="K34" s="36"/>
      <c r="L34" s="36"/>
      <c r="M34" s="36"/>
      <c r="N34" s="36"/>
      <c r="O34" s="36"/>
      <c r="P34" s="36"/>
    </row>
    <row r="35" spans="1:16" s="44" customFormat="1" ht="16.5">
      <c r="A35" s="38"/>
      <c r="B35" s="39"/>
      <c r="C35" s="45" t="s">
        <v>40</v>
      </c>
      <c r="D35" s="41" t="s">
        <v>36</v>
      </c>
      <c r="E35" s="42">
        <f>ROUND(5*E32,2)</f>
        <v>436</v>
      </c>
      <c r="F35" s="42"/>
      <c r="G35" s="35"/>
      <c r="H35" s="43"/>
      <c r="I35" s="43"/>
      <c r="J35" s="43"/>
      <c r="K35" s="36"/>
      <c r="L35" s="36"/>
      <c r="M35" s="36"/>
      <c r="N35" s="36"/>
      <c r="O35" s="36"/>
      <c r="P35" s="36"/>
    </row>
    <row r="36" spans="1:16" s="44" customFormat="1" ht="16.5">
      <c r="A36" s="38"/>
      <c r="B36" s="39"/>
      <c r="C36" s="45" t="s">
        <v>41</v>
      </c>
      <c r="D36" s="41" t="s">
        <v>39</v>
      </c>
      <c r="E36" s="42">
        <f>ROUND(4*E32,2)</f>
        <v>348.8</v>
      </c>
      <c r="F36" s="42"/>
      <c r="G36" s="35"/>
      <c r="H36" s="43"/>
      <c r="I36" s="43"/>
      <c r="J36" s="43"/>
      <c r="K36" s="36"/>
      <c r="L36" s="36"/>
      <c r="M36" s="36"/>
      <c r="N36" s="36"/>
      <c r="O36" s="36"/>
      <c r="P36" s="36"/>
    </row>
    <row r="37" spans="1:16" s="44" customFormat="1" ht="16.5">
      <c r="A37" s="38">
        <v>8</v>
      </c>
      <c r="B37" s="39"/>
      <c r="C37" s="40" t="s">
        <v>138</v>
      </c>
      <c r="D37" s="41" t="s">
        <v>34</v>
      </c>
      <c r="E37" s="42">
        <f>E26+E32</f>
        <v>1362.2</v>
      </c>
      <c r="F37" s="42"/>
      <c r="G37" s="35"/>
      <c r="H37" s="43"/>
      <c r="I37" s="43"/>
      <c r="J37" s="43"/>
      <c r="K37" s="36"/>
      <c r="L37" s="36"/>
      <c r="M37" s="36"/>
      <c r="N37" s="36"/>
      <c r="O37" s="36"/>
      <c r="P37" s="36"/>
    </row>
    <row r="38" spans="1:16" s="44" customFormat="1" ht="16.5">
      <c r="A38" s="38"/>
      <c r="B38" s="39"/>
      <c r="C38" s="45" t="s">
        <v>42</v>
      </c>
      <c r="D38" s="41" t="s">
        <v>34</v>
      </c>
      <c r="E38" s="42">
        <f>ROUND(1.1*E37,2)</f>
        <v>1498.42</v>
      </c>
      <c r="F38" s="42"/>
      <c r="G38" s="35"/>
      <c r="H38" s="43"/>
      <c r="I38" s="43"/>
      <c r="J38" s="43"/>
      <c r="K38" s="36"/>
      <c r="L38" s="36"/>
      <c r="M38" s="36"/>
      <c r="N38" s="36"/>
      <c r="O38" s="36"/>
      <c r="P38" s="36"/>
    </row>
    <row r="39" spans="1:16" s="44" customFormat="1" ht="16.5">
      <c r="A39" s="38"/>
      <c r="B39" s="39"/>
      <c r="C39" s="45" t="s">
        <v>43</v>
      </c>
      <c r="D39" s="41" t="s">
        <v>36</v>
      </c>
      <c r="E39" s="42">
        <f>ROUND(E37*4.5,2)</f>
        <v>6129.9</v>
      </c>
      <c r="F39" s="42"/>
      <c r="G39" s="35"/>
      <c r="H39" s="43"/>
      <c r="I39" s="43"/>
      <c r="J39" s="43"/>
      <c r="K39" s="36"/>
      <c r="L39" s="36"/>
      <c r="M39" s="36"/>
      <c r="N39" s="36"/>
      <c r="O39" s="36"/>
      <c r="P39" s="36"/>
    </row>
    <row r="40" spans="1:16" s="44" customFormat="1" ht="16.5">
      <c r="A40" s="38"/>
      <c r="B40" s="39"/>
      <c r="C40" s="45" t="s">
        <v>146</v>
      </c>
      <c r="D40" s="41" t="s">
        <v>34</v>
      </c>
      <c r="E40" s="42">
        <f>E37</f>
        <v>1362.2</v>
      </c>
      <c r="F40" s="42"/>
      <c r="G40" s="35"/>
      <c r="H40" s="43"/>
      <c r="I40" s="43"/>
      <c r="J40" s="43"/>
      <c r="K40" s="36"/>
      <c r="L40" s="36"/>
      <c r="M40" s="36"/>
      <c r="N40" s="36"/>
      <c r="O40" s="36"/>
      <c r="P40" s="36"/>
    </row>
    <row r="41" spans="1:16" s="85" customFormat="1" ht="33">
      <c r="A41" s="51">
        <v>9</v>
      </c>
      <c r="B41" s="96"/>
      <c r="C41" s="47" t="s">
        <v>139</v>
      </c>
      <c r="D41" s="52" t="s">
        <v>167</v>
      </c>
      <c r="E41" s="48">
        <f>E37</f>
        <v>1362.2</v>
      </c>
      <c r="F41" s="42"/>
      <c r="G41" s="35"/>
      <c r="H41" s="43"/>
      <c r="I41" s="43"/>
      <c r="J41" s="43"/>
      <c r="K41" s="36"/>
      <c r="L41" s="36"/>
      <c r="M41" s="36"/>
      <c r="N41" s="36"/>
      <c r="O41" s="36"/>
      <c r="P41" s="36"/>
    </row>
    <row r="42" spans="1:16" s="85" customFormat="1" ht="16.5">
      <c r="A42" s="51"/>
      <c r="B42" s="96"/>
      <c r="C42" s="177" t="s">
        <v>193</v>
      </c>
      <c r="D42" s="52" t="s">
        <v>44</v>
      </c>
      <c r="E42" s="48">
        <f>E41*0.2</f>
        <v>272.44</v>
      </c>
      <c r="F42" s="181"/>
      <c r="G42" s="49"/>
      <c r="H42" s="49"/>
      <c r="I42" s="49"/>
      <c r="J42" s="49"/>
      <c r="K42" s="36"/>
      <c r="L42" s="36"/>
      <c r="M42" s="36"/>
      <c r="N42" s="36"/>
      <c r="O42" s="36"/>
      <c r="P42" s="36"/>
    </row>
    <row r="43" spans="1:16" s="85" customFormat="1" ht="16.5">
      <c r="A43" s="51"/>
      <c r="B43" s="96"/>
      <c r="C43" s="177" t="s">
        <v>137</v>
      </c>
      <c r="D43" s="52" t="s">
        <v>36</v>
      </c>
      <c r="E43" s="48">
        <f>E41*0.5</f>
        <v>681.1</v>
      </c>
      <c r="F43" s="181"/>
      <c r="G43" s="49"/>
      <c r="H43" s="49"/>
      <c r="I43" s="49"/>
      <c r="J43" s="49"/>
      <c r="K43" s="36"/>
      <c r="L43" s="36"/>
      <c r="M43" s="36"/>
      <c r="N43" s="36"/>
      <c r="O43" s="36"/>
      <c r="P43" s="36"/>
    </row>
    <row r="44" spans="1:16" s="85" customFormat="1" ht="16.5">
      <c r="A44" s="51"/>
      <c r="B44" s="96"/>
      <c r="C44" s="177" t="s">
        <v>135</v>
      </c>
      <c r="D44" s="52" t="s">
        <v>36</v>
      </c>
      <c r="E44" s="48">
        <f>E41*0.5</f>
        <v>681.1</v>
      </c>
      <c r="F44" s="181"/>
      <c r="G44" s="49"/>
      <c r="H44" s="49"/>
      <c r="I44" s="49"/>
      <c r="J44" s="49"/>
      <c r="K44" s="36"/>
      <c r="L44" s="36"/>
      <c r="M44" s="36"/>
      <c r="N44" s="36"/>
      <c r="O44" s="36"/>
      <c r="P44" s="36"/>
    </row>
    <row r="45" spans="1:16" s="37" customFormat="1" ht="16.5">
      <c r="A45" s="51"/>
      <c r="B45" s="53"/>
      <c r="C45" s="53" t="s">
        <v>48</v>
      </c>
      <c r="D45" s="53"/>
      <c r="E45" s="53"/>
      <c r="F45" s="53"/>
      <c r="G45" s="35"/>
      <c r="H45" s="43"/>
      <c r="I45" s="53"/>
      <c r="J45" s="53"/>
      <c r="K45" s="36"/>
      <c r="L45" s="36"/>
      <c r="M45" s="36"/>
      <c r="N45" s="36"/>
      <c r="O45" s="36"/>
      <c r="P45" s="36"/>
    </row>
    <row r="46" spans="1:16" s="44" customFormat="1" ht="16.5">
      <c r="A46" s="38">
        <f>A41+1</f>
        <v>10</v>
      </c>
      <c r="B46" s="46"/>
      <c r="C46" s="40" t="s">
        <v>205</v>
      </c>
      <c r="D46" s="41" t="s">
        <v>34</v>
      </c>
      <c r="E46" s="42">
        <v>92</v>
      </c>
      <c r="F46" s="43"/>
      <c r="G46" s="35"/>
      <c r="H46" s="43"/>
      <c r="I46" s="35"/>
      <c r="J46" s="35"/>
      <c r="K46" s="36"/>
      <c r="L46" s="36"/>
      <c r="M46" s="36"/>
      <c r="N46" s="36"/>
      <c r="O46" s="36"/>
      <c r="P46" s="36"/>
    </row>
    <row r="47" spans="1:16" s="44" customFormat="1" ht="16.5">
      <c r="A47" s="38">
        <f>A46+1</f>
        <v>11</v>
      </c>
      <c r="B47" s="39"/>
      <c r="C47" s="40" t="s">
        <v>154</v>
      </c>
      <c r="D47" s="41" t="s">
        <v>34</v>
      </c>
      <c r="E47" s="42">
        <f>E46*0.3</f>
        <v>27.6</v>
      </c>
      <c r="F47" s="181"/>
      <c r="G47" s="49"/>
      <c r="H47" s="43"/>
      <c r="I47" s="49"/>
      <c r="J47" s="49"/>
      <c r="K47" s="36"/>
      <c r="L47" s="36"/>
      <c r="M47" s="36"/>
      <c r="N47" s="36"/>
      <c r="O47" s="36"/>
      <c r="P47" s="36"/>
    </row>
    <row r="48" spans="1:16" s="44" customFormat="1" ht="18.75" customHeight="1">
      <c r="A48" s="38">
        <f>A47+1</f>
        <v>12</v>
      </c>
      <c r="B48" s="46"/>
      <c r="C48" s="40" t="s">
        <v>63</v>
      </c>
      <c r="D48" s="41" t="s">
        <v>34</v>
      </c>
      <c r="E48" s="42">
        <f>E46</f>
        <v>92</v>
      </c>
      <c r="F48" s="42"/>
      <c r="G48" s="35"/>
      <c r="H48" s="43"/>
      <c r="I48" s="43"/>
      <c r="J48" s="49"/>
      <c r="K48" s="36"/>
      <c r="L48" s="36"/>
      <c r="M48" s="36"/>
      <c r="N48" s="36"/>
      <c r="O48" s="36"/>
      <c r="P48" s="36"/>
    </row>
    <row r="49" spans="1:16" s="44" customFormat="1" ht="33">
      <c r="A49" s="38">
        <f>A48+1</f>
        <v>13</v>
      </c>
      <c r="B49" s="39"/>
      <c r="C49" s="40" t="s">
        <v>213</v>
      </c>
      <c r="D49" s="41" t="s">
        <v>34</v>
      </c>
      <c r="E49" s="42">
        <f>E48</f>
        <v>92</v>
      </c>
      <c r="F49" s="42"/>
      <c r="G49" s="35"/>
      <c r="H49" s="43"/>
      <c r="I49" s="43"/>
      <c r="J49" s="49"/>
      <c r="K49" s="36"/>
      <c r="L49" s="36"/>
      <c r="M49" s="36"/>
      <c r="N49" s="36"/>
      <c r="O49" s="36"/>
      <c r="P49" s="36"/>
    </row>
    <row r="50" spans="1:16" s="109" customFormat="1" ht="17.25" customHeight="1">
      <c r="A50" s="196"/>
      <c r="B50" s="220"/>
      <c r="C50" s="195" t="s">
        <v>206</v>
      </c>
      <c r="D50" s="196" t="s">
        <v>44</v>
      </c>
      <c r="E50" s="197">
        <f>0.2*E49</f>
        <v>18.4</v>
      </c>
      <c r="F50" s="48"/>
      <c r="G50" s="48"/>
      <c r="H50" s="49"/>
      <c r="I50" s="48"/>
      <c r="J50" s="48"/>
      <c r="K50" s="36"/>
      <c r="L50" s="36"/>
      <c r="M50" s="36"/>
      <c r="N50" s="36"/>
      <c r="O50" s="36"/>
      <c r="P50" s="36"/>
    </row>
    <row r="51" spans="1:16" s="44" customFormat="1" ht="16.5">
      <c r="A51" s="38"/>
      <c r="B51" s="39"/>
      <c r="C51" s="295" t="s">
        <v>212</v>
      </c>
      <c r="D51" s="296" t="s">
        <v>34</v>
      </c>
      <c r="E51" s="297">
        <f>ROUND(1.03*E49,2)</f>
        <v>94.76</v>
      </c>
      <c r="F51" s="297"/>
      <c r="G51" s="298"/>
      <c r="H51" s="294"/>
      <c r="I51" s="294"/>
      <c r="J51" s="43"/>
      <c r="K51" s="36"/>
      <c r="L51" s="36"/>
      <c r="M51" s="36"/>
      <c r="N51" s="36"/>
      <c r="O51" s="36"/>
      <c r="P51" s="36"/>
    </row>
    <row r="52" spans="1:16" s="44" customFormat="1" ht="16.5">
      <c r="A52" s="38"/>
      <c r="B52" s="39"/>
      <c r="C52" s="45" t="s">
        <v>40</v>
      </c>
      <c r="D52" s="41" t="s">
        <v>36</v>
      </c>
      <c r="E52" s="42">
        <f>ROUND(15*E49,2)</f>
        <v>1380</v>
      </c>
      <c r="F52" s="42"/>
      <c r="G52" s="35"/>
      <c r="H52" s="43"/>
      <c r="I52" s="43"/>
      <c r="J52" s="43"/>
      <c r="K52" s="36"/>
      <c r="L52" s="36"/>
      <c r="M52" s="36"/>
      <c r="N52" s="36"/>
      <c r="O52" s="36"/>
      <c r="P52" s="36"/>
    </row>
    <row r="53" spans="1:16" s="44" customFormat="1" ht="16.5">
      <c r="A53" s="38"/>
      <c r="B53" s="39"/>
      <c r="C53" s="45" t="s">
        <v>41</v>
      </c>
      <c r="D53" s="41" t="s">
        <v>39</v>
      </c>
      <c r="E53" s="42">
        <f>ROUND(4*E49,2)</f>
        <v>368</v>
      </c>
      <c r="F53" s="42"/>
      <c r="G53" s="35"/>
      <c r="H53" s="43"/>
      <c r="I53" s="43"/>
      <c r="J53" s="43"/>
      <c r="K53" s="36"/>
      <c r="L53" s="36"/>
      <c r="M53" s="36"/>
      <c r="N53" s="36"/>
      <c r="O53" s="36"/>
      <c r="P53" s="36"/>
    </row>
    <row r="54" spans="1:16" s="44" customFormat="1" ht="16.5">
      <c r="A54" s="38"/>
      <c r="B54" s="39"/>
      <c r="C54" s="45" t="s">
        <v>42</v>
      </c>
      <c r="D54" s="41" t="s">
        <v>34</v>
      </c>
      <c r="E54" s="42">
        <f>ROUND(1.15*E49,2)</f>
        <v>105.8</v>
      </c>
      <c r="F54" s="42"/>
      <c r="G54" s="35"/>
      <c r="H54" s="43"/>
      <c r="I54" s="43"/>
      <c r="J54" s="43"/>
      <c r="K54" s="36"/>
      <c r="L54" s="36"/>
      <c r="M54" s="36"/>
      <c r="N54" s="36"/>
      <c r="O54" s="36"/>
      <c r="P54" s="36"/>
    </row>
    <row r="55" spans="1:16" s="44" customFormat="1" ht="16.5">
      <c r="A55" s="38"/>
      <c r="B55" s="39"/>
      <c r="C55" s="45" t="s">
        <v>43</v>
      </c>
      <c r="D55" s="41" t="s">
        <v>36</v>
      </c>
      <c r="E55" s="42">
        <f>ROUND(E49*6,2)</f>
        <v>552</v>
      </c>
      <c r="F55" s="42"/>
      <c r="G55" s="35"/>
      <c r="H55" s="43"/>
      <c r="I55" s="43"/>
      <c r="J55" s="43"/>
      <c r="K55" s="36"/>
      <c r="L55" s="36"/>
      <c r="M55" s="36"/>
      <c r="N55" s="36"/>
      <c r="O55" s="36"/>
      <c r="P55" s="36"/>
    </row>
    <row r="56" spans="1:16" s="44" customFormat="1" ht="33">
      <c r="A56" s="51">
        <f>A49+1</f>
        <v>14</v>
      </c>
      <c r="B56" s="255"/>
      <c r="C56" s="47" t="s">
        <v>194</v>
      </c>
      <c r="D56" s="52" t="s">
        <v>34</v>
      </c>
      <c r="E56" s="285">
        <v>92</v>
      </c>
      <c r="F56" s="42"/>
      <c r="G56" s="35"/>
      <c r="H56" s="43"/>
      <c r="I56" s="43"/>
      <c r="J56" s="49"/>
      <c r="K56" s="36"/>
      <c r="L56" s="36"/>
      <c r="M56" s="36"/>
      <c r="N56" s="36"/>
      <c r="O56" s="36"/>
      <c r="P56" s="36"/>
    </row>
    <row r="57" spans="1:16" s="44" customFormat="1" ht="16.5">
      <c r="A57" s="51"/>
      <c r="B57" s="255"/>
      <c r="C57" s="177" t="s">
        <v>190</v>
      </c>
      <c r="D57" s="52" t="s">
        <v>44</v>
      </c>
      <c r="E57" s="286">
        <f>ROUND(0.3*E56,2)</f>
        <v>28</v>
      </c>
      <c r="F57" s="48"/>
      <c r="G57" s="49"/>
      <c r="H57" s="49"/>
      <c r="I57" s="49"/>
      <c r="J57" s="49"/>
      <c r="K57" s="50"/>
      <c r="L57" s="50"/>
      <c r="M57" s="50"/>
      <c r="N57" s="50"/>
      <c r="O57" s="50"/>
      <c r="P57" s="50"/>
    </row>
    <row r="58" spans="1:16" s="44" customFormat="1" ht="16.5">
      <c r="A58" s="51"/>
      <c r="B58" s="255"/>
      <c r="C58" s="177" t="s">
        <v>191</v>
      </c>
      <c r="D58" s="52" t="s">
        <v>36</v>
      </c>
      <c r="E58" s="286">
        <f>ROUND(8*E56,2)</f>
        <v>736</v>
      </c>
      <c r="F58" s="48"/>
      <c r="G58" s="49"/>
      <c r="H58" s="49"/>
      <c r="I58" s="49"/>
      <c r="J58" s="49"/>
      <c r="K58" s="50"/>
      <c r="L58" s="50"/>
      <c r="M58" s="50"/>
      <c r="N58" s="50"/>
      <c r="O58" s="50"/>
      <c r="P58" s="50"/>
    </row>
    <row r="59" spans="1:16" s="44" customFormat="1" ht="16.5">
      <c r="A59" s="51">
        <f>A56+1</f>
        <v>15</v>
      </c>
      <c r="B59" s="255"/>
      <c r="C59" s="47" t="s">
        <v>192</v>
      </c>
      <c r="D59" s="52" t="s">
        <v>34</v>
      </c>
      <c r="E59" s="285">
        <f>E56</f>
        <v>92</v>
      </c>
      <c r="F59" s="42"/>
      <c r="G59" s="35"/>
      <c r="H59" s="43"/>
      <c r="I59" s="43"/>
      <c r="J59" s="49"/>
      <c r="K59" s="36"/>
      <c r="L59" s="36"/>
      <c r="M59" s="36"/>
      <c r="N59" s="36"/>
      <c r="O59" s="36"/>
      <c r="P59" s="36"/>
    </row>
    <row r="60" spans="1:16" s="44" customFormat="1" ht="16.5">
      <c r="A60" s="51"/>
      <c r="B60" s="255"/>
      <c r="C60" s="177" t="s">
        <v>61</v>
      </c>
      <c r="D60" s="52" t="s">
        <v>44</v>
      </c>
      <c r="E60" s="286">
        <f>ROUND(0.5*E59,2)</f>
        <v>46</v>
      </c>
      <c r="F60" s="48"/>
      <c r="G60" s="49"/>
      <c r="H60" s="49"/>
      <c r="I60" s="49"/>
      <c r="J60" s="49"/>
      <c r="K60" s="50"/>
      <c r="L60" s="50"/>
      <c r="M60" s="50"/>
      <c r="N60" s="50"/>
      <c r="O60" s="50"/>
      <c r="P60" s="50"/>
    </row>
    <row r="61" spans="1:16" s="44" customFormat="1" ht="16.5">
      <c r="A61" s="51"/>
      <c r="B61" s="255"/>
      <c r="C61" s="177" t="s">
        <v>193</v>
      </c>
      <c r="D61" s="52" t="s">
        <v>44</v>
      </c>
      <c r="E61" s="286">
        <f>ROUND(0.3*E59,2)</f>
        <v>28</v>
      </c>
      <c r="F61" s="48"/>
      <c r="G61" s="49"/>
      <c r="H61" s="49"/>
      <c r="I61" s="49"/>
      <c r="J61" s="49"/>
      <c r="K61" s="50"/>
      <c r="L61" s="50"/>
      <c r="M61" s="50"/>
      <c r="N61" s="50"/>
      <c r="O61" s="50"/>
      <c r="P61" s="50"/>
    </row>
    <row r="62" spans="1:16" s="37" customFormat="1" ht="16.5">
      <c r="A62" s="38"/>
      <c r="B62" s="33"/>
      <c r="C62" s="33" t="s">
        <v>49</v>
      </c>
      <c r="D62" s="33"/>
      <c r="E62" s="194"/>
      <c r="F62" s="33"/>
      <c r="G62" s="35"/>
      <c r="H62" s="43"/>
      <c r="I62" s="33"/>
      <c r="J62" s="33"/>
      <c r="K62" s="36"/>
      <c r="L62" s="36"/>
      <c r="M62" s="36"/>
      <c r="N62" s="36"/>
      <c r="O62" s="36"/>
      <c r="P62" s="36"/>
    </row>
    <row r="63" spans="1:16" s="44" customFormat="1" ht="33">
      <c r="A63" s="38">
        <f>A59+1</f>
        <v>16</v>
      </c>
      <c r="B63" s="46"/>
      <c r="C63" s="40" t="s">
        <v>64</v>
      </c>
      <c r="D63" s="41" t="s">
        <v>50</v>
      </c>
      <c r="E63" s="42">
        <f>E65*0.2</f>
        <v>26.02</v>
      </c>
      <c r="F63" s="42"/>
      <c r="G63" s="35"/>
      <c r="H63" s="43"/>
      <c r="I63" s="43"/>
      <c r="J63" s="43"/>
      <c r="K63" s="36"/>
      <c r="L63" s="36"/>
      <c r="M63" s="36"/>
      <c r="N63" s="36"/>
      <c r="O63" s="36"/>
      <c r="P63" s="36"/>
    </row>
    <row r="64" spans="1:16" s="44" customFormat="1" ht="33">
      <c r="A64" s="38">
        <f>A63+1</f>
        <v>17</v>
      </c>
      <c r="B64" s="46"/>
      <c r="C64" s="40" t="s">
        <v>51</v>
      </c>
      <c r="D64" s="41" t="s">
        <v>50</v>
      </c>
      <c r="E64" s="42">
        <f>E65*0.1</f>
        <v>13.01</v>
      </c>
      <c r="F64" s="42"/>
      <c r="G64" s="35"/>
      <c r="H64" s="43"/>
      <c r="I64" s="43"/>
      <c r="J64" s="43"/>
      <c r="K64" s="36"/>
      <c r="L64" s="36"/>
      <c r="M64" s="36"/>
      <c r="N64" s="36"/>
      <c r="O64" s="36"/>
      <c r="P64" s="36"/>
    </row>
    <row r="65" spans="1:16" s="44" customFormat="1" ht="32.25" customHeight="1">
      <c r="A65" s="306">
        <f>A64+1</f>
        <v>18</v>
      </c>
      <c r="B65" s="307"/>
      <c r="C65" s="308" t="s">
        <v>147</v>
      </c>
      <c r="D65" s="309" t="s">
        <v>34</v>
      </c>
      <c r="E65" s="310">
        <v>130.1</v>
      </c>
      <c r="F65" s="310"/>
      <c r="G65" s="58"/>
      <c r="H65" s="287"/>
      <c r="I65" s="287"/>
      <c r="J65" s="287"/>
      <c r="K65" s="60"/>
      <c r="L65" s="60"/>
      <c r="M65" s="60"/>
      <c r="N65" s="60"/>
      <c r="O65" s="60"/>
      <c r="P65" s="60"/>
    </row>
    <row r="66" spans="1:16" s="115" customFormat="1" ht="16.5">
      <c r="A66" s="317"/>
      <c r="B66" s="318"/>
      <c r="C66" s="318" t="s">
        <v>149</v>
      </c>
      <c r="D66" s="318"/>
      <c r="E66" s="319"/>
      <c r="F66" s="318"/>
      <c r="G66" s="320"/>
      <c r="H66" s="321"/>
      <c r="I66" s="318"/>
      <c r="J66" s="318"/>
      <c r="K66" s="322"/>
      <c r="L66" s="322"/>
      <c r="M66" s="322"/>
      <c r="N66" s="322"/>
      <c r="O66" s="322"/>
      <c r="P66" s="323"/>
    </row>
    <row r="67" spans="1:16" s="109" customFormat="1" ht="33">
      <c r="A67" s="38">
        <f>A65+1</f>
        <v>19</v>
      </c>
      <c r="B67" s="311"/>
      <c r="C67" s="312" t="s">
        <v>52</v>
      </c>
      <c r="D67" s="311" t="s">
        <v>50</v>
      </c>
      <c r="E67" s="313">
        <v>25</v>
      </c>
      <c r="F67" s="314"/>
      <c r="G67" s="314"/>
      <c r="H67" s="43"/>
      <c r="I67" s="315"/>
      <c r="J67" s="314"/>
      <c r="K67" s="316"/>
      <c r="L67" s="316"/>
      <c r="M67" s="316"/>
      <c r="N67" s="316"/>
      <c r="O67" s="316"/>
      <c r="P67" s="316"/>
    </row>
    <row r="68" spans="1:16" s="61" customFormat="1" ht="17.25" thickBot="1">
      <c r="A68" s="38"/>
      <c r="B68" s="54"/>
      <c r="C68" s="55"/>
      <c r="D68" s="55"/>
      <c r="E68" s="55"/>
      <c r="F68" s="56"/>
      <c r="G68" s="57"/>
      <c r="H68" s="57"/>
      <c r="I68" s="58"/>
      <c r="J68" s="58"/>
      <c r="K68" s="59"/>
      <c r="L68" s="59"/>
      <c r="M68" s="60"/>
      <c r="N68" s="60"/>
      <c r="O68" s="60"/>
      <c r="P68" s="60"/>
    </row>
    <row r="69" spans="1:22" s="69" customFormat="1" ht="16.5">
      <c r="A69" s="62"/>
      <c r="B69" s="63"/>
      <c r="C69" s="64" t="s">
        <v>53</v>
      </c>
      <c r="D69" s="63" t="s">
        <v>54</v>
      </c>
      <c r="E69" s="63"/>
      <c r="F69" s="63"/>
      <c r="G69" s="65"/>
      <c r="H69" s="66"/>
      <c r="I69" s="65"/>
      <c r="J69" s="65"/>
      <c r="K69" s="65"/>
      <c r="L69" s="67">
        <f>SUM(L17:L68)</f>
        <v>0</v>
      </c>
      <c r="M69" s="67">
        <f>SUM(M17:M68)</f>
        <v>0</v>
      </c>
      <c r="N69" s="67">
        <f>SUM(N17:N68)</f>
        <v>0</v>
      </c>
      <c r="O69" s="67">
        <f>SUM(O17:O68)</f>
        <v>0</v>
      </c>
      <c r="P69" s="68">
        <f>SUM(P17:P68)</f>
        <v>0</v>
      </c>
      <c r="V69" s="299"/>
    </row>
    <row r="70" spans="1:16" s="28" customFormat="1" ht="16.5">
      <c r="A70" s="524" t="s">
        <v>217</v>
      </c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70"/>
      <c r="M70" s="70"/>
      <c r="N70" s="300">
        <f>ROUND(N69*0.03,2)</f>
        <v>0</v>
      </c>
      <c r="O70" s="300"/>
      <c r="P70" s="301">
        <f>SUM(M70:O70)</f>
        <v>0</v>
      </c>
    </row>
    <row r="71" spans="1:16" s="74" customFormat="1" ht="17.25" thickBot="1">
      <c r="A71" s="518" t="s">
        <v>56</v>
      </c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72">
        <f>SUM(L69:L70)</f>
        <v>0</v>
      </c>
      <c r="M71" s="72">
        <f>SUM(M69:M70)</f>
        <v>0</v>
      </c>
      <c r="N71" s="72">
        <f>SUM(N69:N70)</f>
        <v>0</v>
      </c>
      <c r="O71" s="72">
        <f>SUM(O69:O70)</f>
        <v>0</v>
      </c>
      <c r="P71" s="73">
        <f>SUM(M71:O71)</f>
        <v>0</v>
      </c>
    </row>
    <row r="72" spans="1:15" s="78" customFormat="1" ht="16.5">
      <c r="A72" s="75"/>
      <c r="B72" s="75"/>
      <c r="C72" s="76"/>
      <c r="D72" s="77"/>
      <c r="E72" s="77"/>
      <c r="F72" s="77"/>
      <c r="G72" s="77"/>
      <c r="H72" s="77"/>
      <c r="I72" s="77"/>
      <c r="J72" s="77"/>
      <c r="K72" s="77"/>
      <c r="L72" s="76"/>
      <c r="M72" s="76"/>
      <c r="N72" s="76"/>
      <c r="O72" s="76"/>
    </row>
    <row r="73" spans="1:15" s="78" customFormat="1" ht="16.5">
      <c r="A73" s="521"/>
      <c r="B73" s="521"/>
      <c r="C73" s="521"/>
      <c r="D73" s="79"/>
      <c r="E73" s="79"/>
      <c r="F73" s="79"/>
      <c r="G73" s="79"/>
      <c r="H73" s="76"/>
      <c r="I73" s="522"/>
      <c r="J73" s="522"/>
      <c r="K73" s="522"/>
      <c r="L73" s="522"/>
      <c r="M73" s="522"/>
      <c r="N73" s="522"/>
      <c r="O73" s="522"/>
    </row>
    <row r="74" spans="1:8" ht="14.25">
      <c r="A74" s="510" t="s">
        <v>82</v>
      </c>
      <c r="B74" s="510"/>
      <c r="C74" s="144"/>
      <c r="D74" s="145"/>
      <c r="E74" s="175"/>
      <c r="F74" s="175"/>
      <c r="G74" s="175"/>
      <c r="H74" s="175"/>
    </row>
    <row r="75" spans="1:8" ht="14.25">
      <c r="A75" s="146"/>
      <c r="B75" s="146"/>
      <c r="C75" s="147" t="s">
        <v>83</v>
      </c>
      <c r="D75" s="148"/>
      <c r="E75" s="150"/>
      <c r="F75" s="150"/>
      <c r="G75" s="150"/>
      <c r="H75" s="150"/>
    </row>
    <row r="76" spans="1:8" ht="14.25">
      <c r="A76" s="146"/>
      <c r="B76" s="146"/>
      <c r="C76" s="146"/>
      <c r="D76" s="146"/>
      <c r="E76" s="150"/>
      <c r="F76" s="150"/>
      <c r="G76" s="150"/>
      <c r="H76" s="150"/>
    </row>
    <row r="77" spans="1:16" ht="15" customHeight="1">
      <c r="A77" s="530" t="s">
        <v>84</v>
      </c>
      <c r="B77" s="530"/>
      <c r="C77" s="53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</row>
  </sheetData>
  <sheetProtection/>
  <mergeCells count="28">
    <mergeCell ref="A74:B74"/>
    <mergeCell ref="A77:P77"/>
    <mergeCell ref="O10:P10"/>
    <mergeCell ref="A8:C8"/>
    <mergeCell ref="D8:P8"/>
    <mergeCell ref="A9:C9"/>
    <mergeCell ref="B14:B15"/>
    <mergeCell ref="C14:C15"/>
    <mergeCell ref="D14:D15"/>
    <mergeCell ref="E14:E15"/>
    <mergeCell ref="A11:P11"/>
    <mergeCell ref="A12:D12"/>
    <mergeCell ref="D7:P7"/>
    <mergeCell ref="A1:P1"/>
    <mergeCell ref="A2:P2"/>
    <mergeCell ref="A3:P3"/>
    <mergeCell ref="A5:C5"/>
    <mergeCell ref="D5:P5"/>
    <mergeCell ref="F14:K14"/>
    <mergeCell ref="L14:P14"/>
    <mergeCell ref="A71:K71"/>
    <mergeCell ref="A7:C7"/>
    <mergeCell ref="A6:C6"/>
    <mergeCell ref="A73:C73"/>
    <mergeCell ref="I73:O73"/>
    <mergeCell ref="D6:P6"/>
    <mergeCell ref="A70:K70"/>
    <mergeCell ref="A14:A15"/>
  </mergeCells>
  <printOptions/>
  <pageMargins left="0.25" right="0.25" top="0.75" bottom="0.75" header="0.3" footer="0.3"/>
  <pageSetup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R151"/>
  <sheetViews>
    <sheetView showZeros="0" zoomScale="85" zoomScaleNormal="85" zoomScalePageLayoutView="0" workbookViewId="0" topLeftCell="A1">
      <selection activeCell="D6" sqref="D6:P6"/>
    </sheetView>
  </sheetViews>
  <sheetFormatPr defaultColWidth="7.140625" defaultRowHeight="15"/>
  <cols>
    <col min="1" max="1" width="5.8515625" style="80" customWidth="1"/>
    <col min="2" max="2" width="7.421875" style="80" customWidth="1"/>
    <col min="3" max="3" width="39.7109375" style="80" customWidth="1"/>
    <col min="4" max="4" width="8.57421875" style="80" customWidth="1"/>
    <col min="5" max="5" width="8.57421875" style="81" customWidth="1"/>
    <col min="6" max="6" width="8.00390625" style="80" customWidth="1"/>
    <col min="7" max="7" width="9.8515625" style="82" customWidth="1"/>
    <col min="8" max="12" width="9.140625" style="80" customWidth="1"/>
    <col min="13" max="13" width="8.8515625" style="80" customWidth="1"/>
    <col min="14" max="14" width="11.28125" style="80" customWidth="1"/>
    <col min="15" max="15" width="8.8515625" style="80" customWidth="1"/>
    <col min="16" max="16" width="10.28125" style="80" customWidth="1"/>
    <col min="17" max="212" width="9.140625" style="80" customWidth="1"/>
    <col min="213" max="16384" width="7.140625" style="80" customWidth="1"/>
  </cols>
  <sheetData>
    <row r="1" spans="1:16" s="1" customFormat="1" ht="18">
      <c r="A1" s="527" t="s">
        <v>67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7.25" customHeight="1">
      <c r="A2" s="528" t="s">
        <v>156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0.5" customHeight="1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0" customFormat="1" ht="16.5" customHeight="1">
      <c r="A8" s="519" t="s">
        <v>14</v>
      </c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6" customFormat="1" ht="16.5">
      <c r="A9" s="532"/>
      <c r="B9" s="532"/>
      <c r="C9" s="532"/>
      <c r="D9" s="13"/>
      <c r="E9" s="13"/>
      <c r="F9" s="14"/>
      <c r="G9" s="13"/>
      <c r="H9" s="13"/>
      <c r="I9" s="13"/>
      <c r="J9" s="13"/>
      <c r="K9" s="13"/>
      <c r="L9" s="14"/>
      <c r="M9" s="15"/>
      <c r="N9" s="15"/>
      <c r="O9" s="15"/>
      <c r="P9" s="15"/>
    </row>
    <row r="10" spans="1:16" s="16" customFormat="1" ht="16.5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P90</f>
        <v>0</v>
      </c>
      <c r="P10" s="531"/>
    </row>
    <row r="11" spans="1:16" s="11" customFormat="1" ht="16.5" customHeight="1">
      <c r="A11" s="525" t="s">
        <v>371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11" customFormat="1" ht="16.5">
      <c r="A12" s="526"/>
      <c r="B12" s="526"/>
      <c r="C12" s="526"/>
      <c r="D12" s="526"/>
      <c r="E12" s="20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3"/>
    </row>
    <row r="13" spans="1:16" s="28" customFormat="1" ht="16.5">
      <c r="A13" s="24"/>
      <c r="B13" s="24"/>
      <c r="C13" s="25"/>
      <c r="D13" s="25"/>
      <c r="E13" s="26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</row>
    <row r="14" spans="1:16" s="112" customFormat="1" ht="12.75" customHeight="1">
      <c r="A14" s="534" t="s">
        <v>16</v>
      </c>
      <c r="B14" s="534" t="s">
        <v>17</v>
      </c>
      <c r="C14" s="538" t="s">
        <v>18</v>
      </c>
      <c r="D14" s="534" t="s">
        <v>19</v>
      </c>
      <c r="E14" s="534" t="s">
        <v>20</v>
      </c>
      <c r="F14" s="534" t="s">
        <v>21</v>
      </c>
      <c r="G14" s="534"/>
      <c r="H14" s="534"/>
      <c r="I14" s="534"/>
      <c r="J14" s="534"/>
      <c r="K14" s="534"/>
      <c r="L14" s="534" t="s">
        <v>22</v>
      </c>
      <c r="M14" s="534"/>
      <c r="N14" s="534"/>
      <c r="O14" s="534"/>
      <c r="P14" s="534"/>
    </row>
    <row r="15" spans="1:16" s="112" customFormat="1" ht="51">
      <c r="A15" s="534"/>
      <c r="B15" s="534"/>
      <c r="C15" s="538"/>
      <c r="D15" s="534"/>
      <c r="E15" s="534"/>
      <c r="F15" s="110" t="s">
        <v>23</v>
      </c>
      <c r="G15" s="110" t="s">
        <v>24</v>
      </c>
      <c r="H15" s="110" t="s">
        <v>25</v>
      </c>
      <c r="I15" s="110" t="s">
        <v>26</v>
      </c>
      <c r="J15" s="110" t="s">
        <v>27</v>
      </c>
      <c r="K15" s="110" t="s">
        <v>28</v>
      </c>
      <c r="L15" s="110" t="s">
        <v>29</v>
      </c>
      <c r="M15" s="110" t="s">
        <v>30</v>
      </c>
      <c r="N15" s="110" t="s">
        <v>31</v>
      </c>
      <c r="O15" s="110" t="s">
        <v>32</v>
      </c>
      <c r="P15" s="110" t="s">
        <v>33</v>
      </c>
    </row>
    <row r="16" spans="1:16" s="112" customFormat="1" ht="12.75">
      <c r="A16" s="111">
        <v>1</v>
      </c>
      <c r="B16" s="111"/>
      <c r="C16" s="113">
        <v>2</v>
      </c>
      <c r="D16" s="111">
        <v>3</v>
      </c>
      <c r="E16" s="111">
        <v>4</v>
      </c>
      <c r="F16" s="111">
        <v>5</v>
      </c>
      <c r="G16" s="111">
        <v>6</v>
      </c>
      <c r="H16" s="111">
        <v>7</v>
      </c>
      <c r="I16" s="111">
        <v>8</v>
      </c>
      <c r="J16" s="111">
        <v>9</v>
      </c>
      <c r="K16" s="111">
        <v>10</v>
      </c>
      <c r="L16" s="111">
        <v>11</v>
      </c>
      <c r="M16" s="111">
        <v>12</v>
      </c>
      <c r="N16" s="111">
        <v>13</v>
      </c>
      <c r="O16" s="111">
        <v>14</v>
      </c>
      <c r="P16" s="111">
        <v>15</v>
      </c>
    </row>
    <row r="17" spans="1:16" s="115" customFormat="1" ht="16.5">
      <c r="A17" s="257"/>
      <c r="B17" s="257"/>
      <c r="C17" s="257" t="s">
        <v>7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8" s="84" customFormat="1" ht="16.5">
      <c r="A18" s="51">
        <v>1</v>
      </c>
      <c r="B18" s="96"/>
      <c r="C18" s="47" t="s">
        <v>225</v>
      </c>
      <c r="D18" s="52" t="s">
        <v>34</v>
      </c>
      <c r="E18" s="176">
        <v>53.24</v>
      </c>
      <c r="F18" s="48"/>
      <c r="G18" s="49"/>
      <c r="H18" s="49"/>
      <c r="I18" s="49"/>
      <c r="J18" s="49"/>
      <c r="K18" s="50"/>
      <c r="L18" s="50"/>
      <c r="M18" s="50"/>
      <c r="N18" s="50"/>
      <c r="O18" s="50"/>
      <c r="P18" s="50"/>
      <c r="R18" s="488"/>
    </row>
    <row r="19" spans="1:18" s="84" customFormat="1" ht="16.5">
      <c r="A19" s="51"/>
      <c r="B19" s="96"/>
      <c r="C19" s="177" t="s">
        <v>226</v>
      </c>
      <c r="D19" s="52" t="s">
        <v>36</v>
      </c>
      <c r="E19" s="176">
        <v>8</v>
      </c>
      <c r="F19" s="48"/>
      <c r="G19" s="49"/>
      <c r="H19" s="49"/>
      <c r="I19" s="49"/>
      <c r="J19" s="49"/>
      <c r="K19" s="50"/>
      <c r="L19" s="50"/>
      <c r="M19" s="50"/>
      <c r="N19" s="50"/>
      <c r="O19" s="50"/>
      <c r="P19" s="50"/>
      <c r="R19" s="488"/>
    </row>
    <row r="20" spans="1:18" s="84" customFormat="1" ht="16.5">
      <c r="A20" s="51"/>
      <c r="B20" s="96"/>
      <c r="C20" s="177" t="s">
        <v>227</v>
      </c>
      <c r="D20" s="52" t="s">
        <v>34</v>
      </c>
      <c r="E20" s="176">
        <v>16.34</v>
      </c>
      <c r="F20" s="48"/>
      <c r="G20" s="49"/>
      <c r="H20" s="49"/>
      <c r="I20" s="49"/>
      <c r="J20" s="49"/>
      <c r="K20" s="50"/>
      <c r="L20" s="50"/>
      <c r="M20" s="50"/>
      <c r="N20" s="50"/>
      <c r="O20" s="50"/>
      <c r="P20" s="50"/>
      <c r="R20" s="488"/>
    </row>
    <row r="21" spans="1:18" s="84" customFormat="1" ht="33">
      <c r="A21" s="51">
        <v>2</v>
      </c>
      <c r="B21" s="96"/>
      <c r="C21" s="47" t="s">
        <v>199</v>
      </c>
      <c r="D21" s="52" t="s">
        <v>69</v>
      </c>
      <c r="E21" s="48">
        <f>116.4</f>
        <v>116.4</v>
      </c>
      <c r="F21" s="48"/>
      <c r="G21" s="49"/>
      <c r="H21" s="49"/>
      <c r="I21" s="49"/>
      <c r="J21" s="48"/>
      <c r="K21" s="50"/>
      <c r="L21" s="50"/>
      <c r="M21" s="50"/>
      <c r="N21" s="50"/>
      <c r="O21" s="50"/>
      <c r="P21" s="50"/>
      <c r="R21" s="488"/>
    </row>
    <row r="22" spans="1:18" s="115" customFormat="1" ht="16.5">
      <c r="A22" s="256"/>
      <c r="B22" s="257"/>
      <c r="C22" s="257" t="s">
        <v>195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R22" s="488"/>
    </row>
    <row r="23" spans="1:18" s="326" customFormat="1" ht="16.5">
      <c r="A23" s="324">
        <v>3</v>
      </c>
      <c r="B23" s="325"/>
      <c r="C23" s="47" t="s">
        <v>364</v>
      </c>
      <c r="D23" s="52" t="s">
        <v>34</v>
      </c>
      <c r="E23" s="48">
        <v>28</v>
      </c>
      <c r="F23" s="48"/>
      <c r="G23" s="49"/>
      <c r="H23" s="49"/>
      <c r="I23" s="48"/>
      <c r="J23" s="48"/>
      <c r="K23" s="50"/>
      <c r="L23" s="50"/>
      <c r="M23" s="50"/>
      <c r="N23" s="50"/>
      <c r="O23" s="50"/>
      <c r="P23" s="50"/>
      <c r="R23" s="488"/>
    </row>
    <row r="24" spans="1:18" s="326" customFormat="1" ht="16.5">
      <c r="A24" s="324">
        <v>4</v>
      </c>
      <c r="B24" s="325"/>
      <c r="C24" s="47" t="s">
        <v>365</v>
      </c>
      <c r="D24" s="52" t="s">
        <v>34</v>
      </c>
      <c r="E24" s="48">
        <v>28</v>
      </c>
      <c r="F24" s="48"/>
      <c r="G24" s="49"/>
      <c r="H24" s="49"/>
      <c r="I24" s="48"/>
      <c r="J24" s="48"/>
      <c r="K24" s="50"/>
      <c r="L24" s="50"/>
      <c r="M24" s="50"/>
      <c r="N24" s="50"/>
      <c r="O24" s="50"/>
      <c r="P24" s="50"/>
      <c r="R24" s="488"/>
    </row>
    <row r="25" spans="1:18" s="326" customFormat="1" ht="33">
      <c r="A25" s="324">
        <v>5</v>
      </c>
      <c r="B25" s="325"/>
      <c r="C25" s="47" t="s">
        <v>366</v>
      </c>
      <c r="D25" s="52" t="s">
        <v>34</v>
      </c>
      <c r="E25" s="48">
        <v>28</v>
      </c>
      <c r="F25" s="48"/>
      <c r="G25" s="49"/>
      <c r="H25" s="49"/>
      <c r="I25" s="48"/>
      <c r="J25" s="48"/>
      <c r="K25" s="50"/>
      <c r="L25" s="50"/>
      <c r="M25" s="50"/>
      <c r="N25" s="50"/>
      <c r="O25" s="50"/>
      <c r="P25" s="50"/>
      <c r="R25" s="488"/>
    </row>
    <row r="26" spans="1:18" s="326" customFormat="1" ht="49.5">
      <c r="A26" s="324">
        <v>6</v>
      </c>
      <c r="B26" s="325"/>
      <c r="C26" s="47" t="s">
        <v>133</v>
      </c>
      <c r="D26" s="52" t="s">
        <v>50</v>
      </c>
      <c r="E26" s="176">
        <v>0.6</v>
      </c>
      <c r="F26" s="48"/>
      <c r="G26" s="49"/>
      <c r="H26" s="49"/>
      <c r="I26" s="49"/>
      <c r="J26" s="49"/>
      <c r="K26" s="50"/>
      <c r="L26" s="50"/>
      <c r="M26" s="50"/>
      <c r="N26" s="50"/>
      <c r="O26" s="50"/>
      <c r="P26" s="50"/>
      <c r="R26" s="488"/>
    </row>
    <row r="27" spans="1:18" s="326" customFormat="1" ht="16.5">
      <c r="A27" s="324"/>
      <c r="B27" s="325"/>
      <c r="C27" s="177" t="s">
        <v>233</v>
      </c>
      <c r="D27" s="52" t="s">
        <v>50</v>
      </c>
      <c r="E27" s="176">
        <v>0.6</v>
      </c>
      <c r="F27" s="48"/>
      <c r="G27" s="49"/>
      <c r="H27" s="49"/>
      <c r="I27" s="49"/>
      <c r="J27" s="49"/>
      <c r="K27" s="50"/>
      <c r="L27" s="50"/>
      <c r="M27" s="50"/>
      <c r="N27" s="50"/>
      <c r="O27" s="50"/>
      <c r="P27" s="50"/>
      <c r="R27" s="488"/>
    </row>
    <row r="28" spans="1:18" s="326" customFormat="1" ht="16.5">
      <c r="A28" s="324"/>
      <c r="B28" s="325"/>
      <c r="C28" s="177" t="s">
        <v>101</v>
      </c>
      <c r="D28" s="52" t="s">
        <v>36</v>
      </c>
      <c r="E28" s="176">
        <v>11.75</v>
      </c>
      <c r="F28" s="48"/>
      <c r="G28" s="49"/>
      <c r="H28" s="49"/>
      <c r="I28" s="49"/>
      <c r="J28" s="49"/>
      <c r="K28" s="50"/>
      <c r="L28" s="50"/>
      <c r="M28" s="50"/>
      <c r="N28" s="50"/>
      <c r="O28" s="50"/>
      <c r="P28" s="50"/>
      <c r="R28" s="488"/>
    </row>
    <row r="29" spans="1:18" s="326" customFormat="1" ht="16.5">
      <c r="A29" s="324"/>
      <c r="B29" s="325"/>
      <c r="C29" s="177" t="s">
        <v>129</v>
      </c>
      <c r="D29" s="52" t="s">
        <v>36</v>
      </c>
      <c r="E29" s="176">
        <f>ROUND(6*E26,2)</f>
        <v>3.6</v>
      </c>
      <c r="F29" s="48"/>
      <c r="G29" s="49"/>
      <c r="H29" s="49"/>
      <c r="I29" s="49"/>
      <c r="J29" s="49"/>
      <c r="K29" s="50"/>
      <c r="L29" s="50"/>
      <c r="M29" s="50"/>
      <c r="N29" s="50"/>
      <c r="O29" s="50"/>
      <c r="P29" s="50"/>
      <c r="R29" s="488"/>
    </row>
    <row r="30" spans="1:18" s="326" customFormat="1" ht="16.5">
      <c r="A30" s="324">
        <v>7</v>
      </c>
      <c r="B30" s="325"/>
      <c r="C30" s="47" t="s">
        <v>220</v>
      </c>
      <c r="D30" s="52" t="s">
        <v>34</v>
      </c>
      <c r="E30" s="48">
        <v>28</v>
      </c>
      <c r="F30" s="48"/>
      <c r="G30" s="49"/>
      <c r="H30" s="49"/>
      <c r="I30" s="48"/>
      <c r="J30" s="48"/>
      <c r="K30" s="50"/>
      <c r="L30" s="50"/>
      <c r="M30" s="50"/>
      <c r="N30" s="50"/>
      <c r="O30" s="50"/>
      <c r="P30" s="50"/>
      <c r="R30" s="488"/>
    </row>
    <row r="31" spans="1:18" s="258" customFormat="1" ht="14.25" customHeight="1">
      <c r="A31" s="51"/>
      <c r="B31" s="220"/>
      <c r="C31" s="177" t="s">
        <v>221</v>
      </c>
      <c r="D31" s="52" t="s">
        <v>50</v>
      </c>
      <c r="E31" s="48">
        <v>1</v>
      </c>
      <c r="F31" s="48"/>
      <c r="G31" s="49"/>
      <c r="H31" s="49"/>
      <c r="I31" s="48"/>
      <c r="J31" s="48"/>
      <c r="K31" s="50"/>
      <c r="L31" s="50"/>
      <c r="M31" s="50"/>
      <c r="N31" s="50"/>
      <c r="O31" s="50"/>
      <c r="P31" s="50"/>
      <c r="R31" s="488"/>
    </row>
    <row r="32" spans="1:18" s="258" customFormat="1" ht="14.25" customHeight="1">
      <c r="A32" s="51">
        <v>8</v>
      </c>
      <c r="B32" s="220"/>
      <c r="C32" s="202" t="s">
        <v>155</v>
      </c>
      <c r="D32" s="196" t="s">
        <v>34</v>
      </c>
      <c r="E32" s="197">
        <v>28</v>
      </c>
      <c r="F32" s="48"/>
      <c r="G32" s="49"/>
      <c r="H32" s="49"/>
      <c r="I32" s="48"/>
      <c r="J32" s="48"/>
      <c r="K32" s="50"/>
      <c r="L32" s="50"/>
      <c r="M32" s="50"/>
      <c r="N32" s="50"/>
      <c r="O32" s="50"/>
      <c r="P32" s="50"/>
      <c r="R32" s="488"/>
    </row>
    <row r="33" spans="1:18" s="258" customFormat="1" ht="14.25" customHeight="1">
      <c r="A33" s="51"/>
      <c r="B33" s="266"/>
      <c r="C33" s="195" t="s">
        <v>68</v>
      </c>
      <c r="D33" s="196" t="s">
        <v>34</v>
      </c>
      <c r="E33" s="197">
        <f>E32</f>
        <v>28</v>
      </c>
      <c r="F33" s="48"/>
      <c r="G33" s="49"/>
      <c r="H33" s="49"/>
      <c r="I33" s="48"/>
      <c r="J33" s="48"/>
      <c r="K33" s="50"/>
      <c r="L33" s="50"/>
      <c r="M33" s="50"/>
      <c r="N33" s="50"/>
      <c r="O33" s="50"/>
      <c r="P33" s="50"/>
      <c r="R33" s="488"/>
    </row>
    <row r="34" spans="1:18" s="258" customFormat="1" ht="14.25" customHeight="1">
      <c r="A34" s="51"/>
      <c r="B34" s="220"/>
      <c r="C34" s="195" t="s">
        <v>222</v>
      </c>
      <c r="D34" s="196" t="s">
        <v>34</v>
      </c>
      <c r="E34" s="197">
        <f>E32*1.05</f>
        <v>29.4</v>
      </c>
      <c r="F34" s="48"/>
      <c r="G34" s="49"/>
      <c r="H34" s="49"/>
      <c r="I34" s="48"/>
      <c r="J34" s="48"/>
      <c r="K34" s="50"/>
      <c r="L34" s="50"/>
      <c r="M34" s="50"/>
      <c r="N34" s="50"/>
      <c r="O34" s="50"/>
      <c r="P34" s="50"/>
      <c r="R34" s="488"/>
    </row>
    <row r="35" spans="1:18" s="258" customFormat="1" ht="14.25" customHeight="1">
      <c r="A35" s="51">
        <v>9</v>
      </c>
      <c r="B35" s="220"/>
      <c r="C35" s="47" t="s">
        <v>197</v>
      </c>
      <c r="D35" s="52" t="s">
        <v>34</v>
      </c>
      <c r="E35" s="48">
        <v>28</v>
      </c>
      <c r="F35" s="48"/>
      <c r="G35" s="49"/>
      <c r="H35" s="49"/>
      <c r="I35" s="48"/>
      <c r="J35" s="48"/>
      <c r="K35" s="50"/>
      <c r="L35" s="50"/>
      <c r="M35" s="50"/>
      <c r="N35" s="50"/>
      <c r="O35" s="50"/>
      <c r="P35" s="50"/>
      <c r="R35" s="488"/>
    </row>
    <row r="36" spans="1:18" s="258" customFormat="1" ht="30" customHeight="1">
      <c r="A36" s="51"/>
      <c r="B36" s="220"/>
      <c r="C36" s="177" t="s">
        <v>223</v>
      </c>
      <c r="D36" s="52" t="s">
        <v>34</v>
      </c>
      <c r="E36" s="48">
        <f>E35*1.1</f>
        <v>30.8</v>
      </c>
      <c r="F36" s="48"/>
      <c r="G36" s="49"/>
      <c r="H36" s="49"/>
      <c r="I36" s="49"/>
      <c r="J36" s="49"/>
      <c r="K36" s="50"/>
      <c r="L36" s="50"/>
      <c r="M36" s="50"/>
      <c r="N36" s="50"/>
      <c r="O36" s="50"/>
      <c r="P36" s="50"/>
      <c r="R36" s="488"/>
    </row>
    <row r="37" spans="1:18" s="258" customFormat="1" ht="30" customHeight="1">
      <c r="A37" s="51"/>
      <c r="B37" s="220"/>
      <c r="C37" s="177" t="s">
        <v>224</v>
      </c>
      <c r="D37" s="52" t="s">
        <v>34</v>
      </c>
      <c r="E37" s="48">
        <f>E35*1.1</f>
        <v>30.8</v>
      </c>
      <c r="F37" s="48"/>
      <c r="G37" s="49"/>
      <c r="H37" s="49"/>
      <c r="I37" s="49"/>
      <c r="J37" s="49"/>
      <c r="K37" s="50"/>
      <c r="L37" s="50"/>
      <c r="M37" s="50"/>
      <c r="N37" s="50"/>
      <c r="O37" s="50"/>
      <c r="P37" s="50"/>
      <c r="R37" s="488"/>
    </row>
    <row r="38" spans="1:18" s="258" customFormat="1" ht="14.25" customHeight="1">
      <c r="A38" s="51"/>
      <c r="B38" s="220"/>
      <c r="C38" s="177" t="s">
        <v>176</v>
      </c>
      <c r="D38" s="52" t="s">
        <v>100</v>
      </c>
      <c r="E38" s="48">
        <f>E35*4</f>
        <v>112</v>
      </c>
      <c r="F38" s="48"/>
      <c r="G38" s="49"/>
      <c r="H38" s="49"/>
      <c r="I38" s="49"/>
      <c r="J38" s="49"/>
      <c r="K38" s="50"/>
      <c r="L38" s="50"/>
      <c r="M38" s="50"/>
      <c r="N38" s="50"/>
      <c r="O38" s="50"/>
      <c r="P38" s="50"/>
      <c r="R38" s="488"/>
    </row>
    <row r="39" spans="1:18" s="258" customFormat="1" ht="72.75" customHeight="1">
      <c r="A39" s="51">
        <v>10</v>
      </c>
      <c r="B39" s="220"/>
      <c r="C39" s="47" t="s">
        <v>177</v>
      </c>
      <c r="D39" s="52" t="s">
        <v>34</v>
      </c>
      <c r="E39" s="48">
        <f>E35</f>
        <v>28</v>
      </c>
      <c r="F39" s="48"/>
      <c r="G39" s="49"/>
      <c r="H39" s="49"/>
      <c r="I39" s="49"/>
      <c r="J39" s="49"/>
      <c r="K39" s="50"/>
      <c r="L39" s="50"/>
      <c r="M39" s="50"/>
      <c r="N39" s="50"/>
      <c r="O39" s="50"/>
      <c r="P39" s="50"/>
      <c r="R39" s="488"/>
    </row>
    <row r="40" spans="1:18" s="258" customFormat="1" ht="30" customHeight="1">
      <c r="A40" s="51"/>
      <c r="B40" s="220"/>
      <c r="C40" s="177" t="s">
        <v>178</v>
      </c>
      <c r="D40" s="52" t="s">
        <v>34</v>
      </c>
      <c r="E40" s="48">
        <f>E39*1.2</f>
        <v>33.6</v>
      </c>
      <c r="F40" s="48"/>
      <c r="G40" s="49"/>
      <c r="H40" s="49"/>
      <c r="I40" s="49"/>
      <c r="J40" s="49"/>
      <c r="K40" s="50"/>
      <c r="L40" s="50"/>
      <c r="M40" s="50"/>
      <c r="N40" s="50"/>
      <c r="O40" s="50"/>
      <c r="P40" s="50"/>
      <c r="R40" s="488"/>
    </row>
    <row r="41" spans="1:18" s="258" customFormat="1" ht="14.25" customHeight="1">
      <c r="A41" s="51"/>
      <c r="B41" s="220"/>
      <c r="C41" s="177" t="s">
        <v>179</v>
      </c>
      <c r="D41" s="52" t="s">
        <v>180</v>
      </c>
      <c r="E41" s="48">
        <v>3</v>
      </c>
      <c r="F41" s="48"/>
      <c r="G41" s="49"/>
      <c r="H41" s="49"/>
      <c r="I41" s="49"/>
      <c r="J41" s="49"/>
      <c r="K41" s="50"/>
      <c r="L41" s="50"/>
      <c r="M41" s="50"/>
      <c r="N41" s="50"/>
      <c r="O41" s="50"/>
      <c r="P41" s="50"/>
      <c r="R41" s="488"/>
    </row>
    <row r="42" spans="1:18" s="258" customFormat="1" ht="53.25" customHeight="1">
      <c r="A42" s="51">
        <v>11</v>
      </c>
      <c r="B42" s="220"/>
      <c r="C42" s="47" t="s">
        <v>181</v>
      </c>
      <c r="D42" s="52" t="s">
        <v>34</v>
      </c>
      <c r="E42" s="48">
        <f>E39</f>
        <v>28</v>
      </c>
      <c r="F42" s="48"/>
      <c r="G42" s="49"/>
      <c r="H42" s="49"/>
      <c r="I42" s="49"/>
      <c r="J42" s="49"/>
      <c r="K42" s="50"/>
      <c r="L42" s="50"/>
      <c r="M42" s="50"/>
      <c r="N42" s="50"/>
      <c r="O42" s="50"/>
      <c r="P42" s="50"/>
      <c r="R42" s="488"/>
    </row>
    <row r="43" spans="1:18" s="258" customFormat="1" ht="39" customHeight="1">
      <c r="A43" s="51"/>
      <c r="B43" s="220"/>
      <c r="C43" s="177" t="s">
        <v>182</v>
      </c>
      <c r="D43" s="52" t="s">
        <v>34</v>
      </c>
      <c r="E43" s="48">
        <f>E39*1.2</f>
        <v>33.6</v>
      </c>
      <c r="F43" s="48"/>
      <c r="G43" s="49"/>
      <c r="H43" s="49"/>
      <c r="I43" s="49"/>
      <c r="J43" s="49"/>
      <c r="K43" s="50"/>
      <c r="L43" s="50"/>
      <c r="M43" s="50"/>
      <c r="N43" s="50"/>
      <c r="O43" s="50"/>
      <c r="P43" s="50"/>
      <c r="R43" s="488"/>
    </row>
    <row r="44" spans="1:18" s="258" customFormat="1" ht="14.25" customHeight="1">
      <c r="A44" s="51"/>
      <c r="B44" s="220"/>
      <c r="C44" s="177" t="s">
        <v>179</v>
      </c>
      <c r="D44" s="52" t="s">
        <v>180</v>
      </c>
      <c r="E44" s="48">
        <v>3</v>
      </c>
      <c r="F44" s="48"/>
      <c r="G44" s="49"/>
      <c r="H44" s="49"/>
      <c r="I44" s="49"/>
      <c r="J44" s="49"/>
      <c r="K44" s="50"/>
      <c r="L44" s="50"/>
      <c r="M44" s="50"/>
      <c r="N44" s="50"/>
      <c r="O44" s="50"/>
      <c r="P44" s="50"/>
      <c r="R44" s="488"/>
    </row>
    <row r="45" spans="1:18" s="258" customFormat="1" ht="14.25" customHeight="1">
      <c r="A45" s="51">
        <v>12</v>
      </c>
      <c r="B45" s="220"/>
      <c r="C45" s="47" t="s">
        <v>184</v>
      </c>
      <c r="D45" s="52" t="s">
        <v>100</v>
      </c>
      <c r="E45" s="48">
        <v>1</v>
      </c>
      <c r="F45" s="48"/>
      <c r="G45" s="49"/>
      <c r="H45" s="49"/>
      <c r="I45" s="49"/>
      <c r="J45" s="48"/>
      <c r="K45" s="50"/>
      <c r="L45" s="50"/>
      <c r="M45" s="50"/>
      <c r="N45" s="50"/>
      <c r="O45" s="50"/>
      <c r="P45" s="50"/>
      <c r="R45" s="488"/>
    </row>
    <row r="46" spans="1:18" s="258" customFormat="1" ht="14.25" customHeight="1">
      <c r="A46" s="51">
        <v>13</v>
      </c>
      <c r="B46" s="220"/>
      <c r="C46" s="47" t="s">
        <v>183</v>
      </c>
      <c r="D46" s="52" t="s">
        <v>69</v>
      </c>
      <c r="E46" s="48">
        <v>24</v>
      </c>
      <c r="F46" s="48"/>
      <c r="G46" s="49"/>
      <c r="H46" s="49"/>
      <c r="I46" s="49"/>
      <c r="J46" s="49"/>
      <c r="K46" s="50"/>
      <c r="L46" s="50"/>
      <c r="M46" s="50"/>
      <c r="N46" s="50"/>
      <c r="O46" s="50"/>
      <c r="P46" s="50"/>
      <c r="R46" s="488"/>
    </row>
    <row r="47" spans="1:18" s="115" customFormat="1" ht="16.5">
      <c r="A47" s="256"/>
      <c r="B47" s="257"/>
      <c r="C47" s="257" t="s">
        <v>229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R47" s="488"/>
    </row>
    <row r="48" spans="1:18" s="84" customFormat="1" ht="49.5">
      <c r="A48" s="51">
        <v>14</v>
      </c>
      <c r="B48" s="96"/>
      <c r="C48" s="47" t="s">
        <v>133</v>
      </c>
      <c r="D48" s="52" t="s">
        <v>50</v>
      </c>
      <c r="E48" s="176">
        <v>1.05</v>
      </c>
      <c r="F48" s="48"/>
      <c r="G48" s="49"/>
      <c r="H48" s="49"/>
      <c r="I48" s="49"/>
      <c r="J48" s="49"/>
      <c r="K48" s="50"/>
      <c r="L48" s="50"/>
      <c r="M48" s="50"/>
      <c r="N48" s="50"/>
      <c r="O48" s="50"/>
      <c r="P48" s="50"/>
      <c r="R48" s="488"/>
    </row>
    <row r="49" spans="1:18" s="84" customFormat="1" ht="16.5">
      <c r="A49" s="51"/>
      <c r="B49" s="96"/>
      <c r="C49" s="177" t="s">
        <v>175</v>
      </c>
      <c r="D49" s="52" t="s">
        <v>50</v>
      </c>
      <c r="E49" s="176">
        <f>E48*1.05</f>
        <v>1.1</v>
      </c>
      <c r="F49" s="48"/>
      <c r="G49" s="49"/>
      <c r="H49" s="49"/>
      <c r="I49" s="49"/>
      <c r="J49" s="49"/>
      <c r="K49" s="50"/>
      <c r="L49" s="50"/>
      <c r="M49" s="50"/>
      <c r="N49" s="50"/>
      <c r="O49" s="50"/>
      <c r="P49" s="50"/>
      <c r="R49" s="488"/>
    </row>
    <row r="50" spans="1:18" s="84" customFormat="1" ht="16.5">
      <c r="A50" s="51"/>
      <c r="B50" s="96"/>
      <c r="C50" s="177" t="s">
        <v>101</v>
      </c>
      <c r="D50" s="52" t="s">
        <v>36</v>
      </c>
      <c r="E50" s="176">
        <f>ROUND(15*E48,2)</f>
        <v>15.75</v>
      </c>
      <c r="F50" s="48"/>
      <c r="G50" s="49"/>
      <c r="H50" s="49"/>
      <c r="I50" s="49"/>
      <c r="J50" s="49"/>
      <c r="K50" s="50"/>
      <c r="L50" s="50"/>
      <c r="M50" s="50"/>
      <c r="N50" s="50"/>
      <c r="O50" s="50"/>
      <c r="P50" s="50"/>
      <c r="R50" s="488"/>
    </row>
    <row r="51" spans="1:18" s="84" customFormat="1" ht="16.5">
      <c r="A51" s="51"/>
      <c r="B51" s="96"/>
      <c r="C51" s="177" t="s">
        <v>129</v>
      </c>
      <c r="D51" s="52" t="s">
        <v>36</v>
      </c>
      <c r="E51" s="176">
        <f>ROUND(6*E48,2)</f>
        <v>6.3</v>
      </c>
      <c r="F51" s="48"/>
      <c r="G51" s="49"/>
      <c r="H51" s="49"/>
      <c r="I51" s="49"/>
      <c r="J51" s="49"/>
      <c r="K51" s="50"/>
      <c r="L51" s="50"/>
      <c r="M51" s="50"/>
      <c r="N51" s="50"/>
      <c r="O51" s="50"/>
      <c r="P51" s="50"/>
      <c r="R51" s="488"/>
    </row>
    <row r="52" spans="1:18" s="84" customFormat="1" ht="16.5">
      <c r="A52" s="51"/>
      <c r="B52" s="96"/>
      <c r="C52" s="177" t="s">
        <v>130</v>
      </c>
      <c r="D52" s="52" t="s">
        <v>34</v>
      </c>
      <c r="E52" s="176">
        <f>ROUND(5*E48,2)</f>
        <v>5.25</v>
      </c>
      <c r="F52" s="48"/>
      <c r="G52" s="49"/>
      <c r="H52" s="49"/>
      <c r="I52" s="49"/>
      <c r="J52" s="49"/>
      <c r="K52" s="50"/>
      <c r="L52" s="50"/>
      <c r="M52" s="50"/>
      <c r="N52" s="50"/>
      <c r="O52" s="50"/>
      <c r="P52" s="50"/>
      <c r="R52" s="488"/>
    </row>
    <row r="53" spans="1:18" s="84" customFormat="1" ht="33">
      <c r="A53" s="51">
        <v>15</v>
      </c>
      <c r="B53" s="96"/>
      <c r="C53" s="47" t="s">
        <v>189</v>
      </c>
      <c r="D53" s="52" t="s">
        <v>50</v>
      </c>
      <c r="E53" s="176">
        <f>E48</f>
        <v>1.05</v>
      </c>
      <c r="F53" s="48"/>
      <c r="G53" s="49"/>
      <c r="H53" s="49"/>
      <c r="I53" s="49"/>
      <c r="J53" s="49"/>
      <c r="K53" s="50"/>
      <c r="L53" s="50"/>
      <c r="M53" s="50"/>
      <c r="N53" s="50"/>
      <c r="O53" s="50"/>
      <c r="P53" s="50"/>
      <c r="R53" s="488"/>
    </row>
    <row r="54" spans="1:18" s="84" customFormat="1" ht="16.5">
      <c r="A54" s="51"/>
      <c r="B54" s="96"/>
      <c r="C54" s="177" t="s">
        <v>131</v>
      </c>
      <c r="D54" s="52" t="s">
        <v>36</v>
      </c>
      <c r="E54" s="176">
        <v>3.2</v>
      </c>
      <c r="F54" s="48"/>
      <c r="G54" s="49"/>
      <c r="H54" s="49"/>
      <c r="I54" s="49"/>
      <c r="J54" s="49"/>
      <c r="K54" s="50"/>
      <c r="L54" s="50"/>
      <c r="M54" s="50"/>
      <c r="N54" s="50"/>
      <c r="O54" s="50"/>
      <c r="P54" s="50"/>
      <c r="R54" s="488"/>
    </row>
    <row r="55" spans="1:18" s="115" customFormat="1" ht="16.5">
      <c r="A55" s="51"/>
      <c r="B55" s="199"/>
      <c r="C55" s="200" t="s">
        <v>65</v>
      </c>
      <c r="D55" s="200"/>
      <c r="E55" s="200"/>
      <c r="F55" s="200"/>
      <c r="G55" s="49"/>
      <c r="H55" s="201"/>
      <c r="I55" s="114"/>
      <c r="J55" s="114"/>
      <c r="K55" s="50"/>
      <c r="L55" s="50"/>
      <c r="M55" s="50"/>
      <c r="N55" s="50"/>
      <c r="O55" s="50"/>
      <c r="P55" s="50"/>
      <c r="R55" s="488"/>
    </row>
    <row r="56" spans="1:18" s="84" customFormat="1" ht="16.5">
      <c r="A56" s="51">
        <v>16</v>
      </c>
      <c r="B56" s="96"/>
      <c r="C56" s="47" t="s">
        <v>364</v>
      </c>
      <c r="D56" s="52" t="s">
        <v>34</v>
      </c>
      <c r="E56" s="48">
        <v>957.2</v>
      </c>
      <c r="F56" s="48"/>
      <c r="G56" s="49"/>
      <c r="H56" s="49"/>
      <c r="I56" s="48"/>
      <c r="J56" s="48"/>
      <c r="K56" s="50"/>
      <c r="L56" s="50"/>
      <c r="M56" s="50"/>
      <c r="N56" s="50"/>
      <c r="O56" s="50"/>
      <c r="P56" s="50"/>
      <c r="R56" s="488"/>
    </row>
    <row r="57" spans="1:18" s="84" customFormat="1" ht="16.5">
      <c r="A57" s="51">
        <v>17</v>
      </c>
      <c r="B57" s="96"/>
      <c r="C57" s="47" t="s">
        <v>365</v>
      </c>
      <c r="D57" s="52" t="s">
        <v>34</v>
      </c>
      <c r="E57" s="48">
        <v>957.2</v>
      </c>
      <c r="F57" s="48"/>
      <c r="G57" s="49"/>
      <c r="H57" s="49"/>
      <c r="I57" s="48"/>
      <c r="J57" s="48"/>
      <c r="K57" s="50"/>
      <c r="L57" s="50"/>
      <c r="M57" s="50"/>
      <c r="N57" s="50"/>
      <c r="O57" s="50"/>
      <c r="P57" s="50"/>
      <c r="R57" s="488"/>
    </row>
    <row r="58" spans="1:18" s="84" customFormat="1" ht="33">
      <c r="A58" s="51">
        <v>18</v>
      </c>
      <c r="B58" s="96"/>
      <c r="C58" s="47" t="s">
        <v>366</v>
      </c>
      <c r="D58" s="52" t="s">
        <v>34</v>
      </c>
      <c r="E58" s="48">
        <v>957.2</v>
      </c>
      <c r="F58" s="48"/>
      <c r="G58" s="49"/>
      <c r="H58" s="49"/>
      <c r="I58" s="48"/>
      <c r="J58" s="48"/>
      <c r="K58" s="50"/>
      <c r="L58" s="50"/>
      <c r="M58" s="50"/>
      <c r="N58" s="50"/>
      <c r="O58" s="50"/>
      <c r="P58" s="50"/>
      <c r="R58" s="488"/>
    </row>
    <row r="59" spans="1:18" s="84" customFormat="1" ht="33">
      <c r="A59" s="51">
        <v>19</v>
      </c>
      <c r="B59" s="96"/>
      <c r="C59" s="47" t="s">
        <v>231</v>
      </c>
      <c r="D59" s="52" t="s">
        <v>34</v>
      </c>
      <c r="E59" s="48">
        <v>4.8</v>
      </c>
      <c r="F59" s="48"/>
      <c r="G59" s="49"/>
      <c r="H59" s="49"/>
      <c r="I59" s="48"/>
      <c r="J59" s="48"/>
      <c r="K59" s="50"/>
      <c r="L59" s="50"/>
      <c r="M59" s="50"/>
      <c r="N59" s="50"/>
      <c r="O59" s="50"/>
      <c r="P59" s="50"/>
      <c r="R59" s="488"/>
    </row>
    <row r="60" spans="1:18" s="84" customFormat="1" ht="49.5">
      <c r="A60" s="51">
        <v>20</v>
      </c>
      <c r="B60" s="96"/>
      <c r="C60" s="47" t="s">
        <v>133</v>
      </c>
      <c r="D60" s="52" t="s">
        <v>50</v>
      </c>
      <c r="E60" s="176">
        <v>6.05</v>
      </c>
      <c r="F60" s="48"/>
      <c r="G60" s="49"/>
      <c r="H60" s="49"/>
      <c r="I60" s="49"/>
      <c r="J60" s="49"/>
      <c r="K60" s="50"/>
      <c r="L60" s="50"/>
      <c r="M60" s="50"/>
      <c r="N60" s="50"/>
      <c r="O60" s="50"/>
      <c r="P60" s="50"/>
      <c r="R60" s="488"/>
    </row>
    <row r="61" spans="1:18" s="84" customFormat="1" ht="16.5">
      <c r="A61" s="51"/>
      <c r="B61" s="96"/>
      <c r="C61" s="177" t="s">
        <v>230</v>
      </c>
      <c r="D61" s="52" t="s">
        <v>50</v>
      </c>
      <c r="E61" s="176">
        <f>E60*1.05</f>
        <v>6.35</v>
      </c>
      <c r="F61" s="48"/>
      <c r="G61" s="49"/>
      <c r="H61" s="49"/>
      <c r="I61" s="49"/>
      <c r="J61" s="49"/>
      <c r="K61" s="50"/>
      <c r="L61" s="50"/>
      <c r="M61" s="50"/>
      <c r="N61" s="50"/>
      <c r="O61" s="50"/>
      <c r="P61" s="50"/>
      <c r="R61" s="488"/>
    </row>
    <row r="62" spans="1:18" s="84" customFormat="1" ht="16.5">
      <c r="A62" s="51"/>
      <c r="B62" s="96"/>
      <c r="C62" s="177" t="s">
        <v>101</v>
      </c>
      <c r="D62" s="52" t="s">
        <v>36</v>
      </c>
      <c r="E62" s="176">
        <f>ROUND(15*E60,2)</f>
        <v>90.75</v>
      </c>
      <c r="F62" s="48"/>
      <c r="G62" s="49"/>
      <c r="H62" s="49"/>
      <c r="I62" s="49"/>
      <c r="J62" s="49"/>
      <c r="K62" s="50"/>
      <c r="L62" s="50"/>
      <c r="M62" s="50"/>
      <c r="N62" s="50"/>
      <c r="O62" s="50"/>
      <c r="P62" s="50"/>
      <c r="R62" s="488"/>
    </row>
    <row r="63" spans="1:18" s="84" customFormat="1" ht="16.5">
      <c r="A63" s="51"/>
      <c r="B63" s="96"/>
      <c r="C63" s="177" t="s">
        <v>129</v>
      </c>
      <c r="D63" s="52" t="s">
        <v>36</v>
      </c>
      <c r="E63" s="176">
        <f>ROUND(6*E60,2)</f>
        <v>36.3</v>
      </c>
      <c r="F63" s="48"/>
      <c r="G63" s="49"/>
      <c r="H63" s="49"/>
      <c r="I63" s="49"/>
      <c r="J63" s="49"/>
      <c r="K63" s="50"/>
      <c r="L63" s="50"/>
      <c r="M63" s="50"/>
      <c r="N63" s="50"/>
      <c r="O63" s="50"/>
      <c r="P63" s="50"/>
      <c r="R63" s="488"/>
    </row>
    <row r="64" spans="1:18" s="84" customFormat="1" ht="33">
      <c r="A64" s="51">
        <v>21</v>
      </c>
      <c r="B64" s="96"/>
      <c r="C64" s="47" t="s">
        <v>219</v>
      </c>
      <c r="D64" s="52" t="s">
        <v>50</v>
      </c>
      <c r="E64" s="48">
        <v>8.4</v>
      </c>
      <c r="F64" s="48"/>
      <c r="G64" s="49"/>
      <c r="H64" s="49"/>
      <c r="I64" s="48"/>
      <c r="J64" s="48"/>
      <c r="K64" s="50"/>
      <c r="L64" s="50"/>
      <c r="M64" s="50"/>
      <c r="N64" s="50"/>
      <c r="O64" s="50"/>
      <c r="P64" s="50"/>
      <c r="R64" s="488"/>
    </row>
    <row r="65" spans="1:18" s="84" customFormat="1" ht="16.5">
      <c r="A65" s="51">
        <v>22</v>
      </c>
      <c r="B65" s="96"/>
      <c r="C65" s="47" t="s">
        <v>220</v>
      </c>
      <c r="D65" s="52" t="s">
        <v>34</v>
      </c>
      <c r="E65" s="48">
        <v>957.2</v>
      </c>
      <c r="F65" s="48"/>
      <c r="G65" s="49"/>
      <c r="H65" s="49"/>
      <c r="I65" s="48"/>
      <c r="J65" s="48"/>
      <c r="K65" s="50"/>
      <c r="L65" s="50"/>
      <c r="M65" s="50"/>
      <c r="N65" s="50"/>
      <c r="O65" s="50"/>
      <c r="P65" s="50"/>
      <c r="R65" s="488"/>
    </row>
    <row r="66" spans="1:18" s="84" customFormat="1" ht="16.5">
      <c r="A66" s="51"/>
      <c r="B66" s="96"/>
      <c r="C66" s="177" t="s">
        <v>221</v>
      </c>
      <c r="D66" s="52" t="s">
        <v>50</v>
      </c>
      <c r="E66" s="48">
        <v>8.84</v>
      </c>
      <c r="F66" s="48"/>
      <c r="G66" s="49"/>
      <c r="H66" s="49"/>
      <c r="I66" s="48"/>
      <c r="J66" s="48"/>
      <c r="K66" s="50"/>
      <c r="L66" s="50"/>
      <c r="M66" s="50"/>
      <c r="N66" s="50"/>
      <c r="O66" s="50"/>
      <c r="P66" s="50"/>
      <c r="R66" s="488"/>
    </row>
    <row r="67" spans="1:18" s="258" customFormat="1" ht="18.75" customHeight="1">
      <c r="A67" s="51">
        <v>23</v>
      </c>
      <c r="B67" s="220"/>
      <c r="C67" s="202" t="s">
        <v>198</v>
      </c>
      <c r="D67" s="196" t="s">
        <v>34</v>
      </c>
      <c r="E67" s="197">
        <v>957.2</v>
      </c>
      <c r="F67" s="48"/>
      <c r="G67" s="49"/>
      <c r="H67" s="49"/>
      <c r="I67" s="48"/>
      <c r="J67" s="48"/>
      <c r="K67" s="50"/>
      <c r="L67" s="50"/>
      <c r="M67" s="50"/>
      <c r="N67" s="50"/>
      <c r="O67" s="50"/>
      <c r="P67" s="50"/>
      <c r="R67" s="488"/>
    </row>
    <row r="68" spans="1:18" s="258" customFormat="1" ht="18" customHeight="1">
      <c r="A68" s="51"/>
      <c r="B68" s="266"/>
      <c r="C68" s="195" t="s">
        <v>68</v>
      </c>
      <c r="D68" s="196" t="s">
        <v>34</v>
      </c>
      <c r="E68" s="197">
        <v>1100.78</v>
      </c>
      <c r="F68" s="48"/>
      <c r="G68" s="49"/>
      <c r="H68" s="49"/>
      <c r="I68" s="48"/>
      <c r="J68" s="48"/>
      <c r="K68" s="50"/>
      <c r="L68" s="50"/>
      <c r="M68" s="50"/>
      <c r="N68" s="50"/>
      <c r="O68" s="50"/>
      <c r="P68" s="50"/>
      <c r="R68" s="488"/>
    </row>
    <row r="69" spans="1:18" s="258" customFormat="1" ht="18" customHeight="1">
      <c r="A69" s="51"/>
      <c r="B69" s="266"/>
      <c r="C69" s="195" t="s">
        <v>222</v>
      </c>
      <c r="D69" s="196" t="s">
        <v>34</v>
      </c>
      <c r="E69" s="197">
        <v>1100.78</v>
      </c>
      <c r="F69" s="48"/>
      <c r="G69" s="49"/>
      <c r="H69" s="49"/>
      <c r="I69" s="48"/>
      <c r="J69" s="48"/>
      <c r="K69" s="50"/>
      <c r="L69" s="50"/>
      <c r="M69" s="50"/>
      <c r="N69" s="50"/>
      <c r="O69" s="50"/>
      <c r="P69" s="50"/>
      <c r="R69" s="488"/>
    </row>
    <row r="70" spans="1:18" s="44" customFormat="1" ht="19.5" customHeight="1">
      <c r="A70" s="51">
        <f>A67+1</f>
        <v>24</v>
      </c>
      <c r="B70" s="96"/>
      <c r="C70" s="47" t="s">
        <v>197</v>
      </c>
      <c r="D70" s="52" t="s">
        <v>34</v>
      </c>
      <c r="E70" s="48">
        <v>957.2</v>
      </c>
      <c r="F70" s="48"/>
      <c r="G70" s="49"/>
      <c r="H70" s="49"/>
      <c r="I70" s="48"/>
      <c r="J70" s="48"/>
      <c r="K70" s="50"/>
      <c r="L70" s="50"/>
      <c r="M70" s="50"/>
      <c r="N70" s="50"/>
      <c r="O70" s="50"/>
      <c r="P70" s="50"/>
      <c r="R70" s="488"/>
    </row>
    <row r="71" spans="1:18" s="44" customFormat="1" ht="41.25" customHeight="1">
      <c r="A71" s="51"/>
      <c r="B71" s="96"/>
      <c r="C71" s="177" t="s">
        <v>223</v>
      </c>
      <c r="D71" s="52" t="s">
        <v>34</v>
      </c>
      <c r="E71" s="48">
        <v>1005.06</v>
      </c>
      <c r="F71" s="48"/>
      <c r="G71" s="49"/>
      <c r="H71" s="49"/>
      <c r="I71" s="49"/>
      <c r="J71" s="49"/>
      <c r="K71" s="50"/>
      <c r="L71" s="50"/>
      <c r="M71" s="50"/>
      <c r="N71" s="50"/>
      <c r="O71" s="50"/>
      <c r="P71" s="50"/>
      <c r="R71" s="488"/>
    </row>
    <row r="72" spans="1:18" s="44" customFormat="1" ht="33">
      <c r="A72" s="51"/>
      <c r="B72" s="96"/>
      <c r="C72" s="177" t="s">
        <v>224</v>
      </c>
      <c r="D72" s="52" t="s">
        <v>34</v>
      </c>
      <c r="E72" s="48">
        <v>1005.06</v>
      </c>
      <c r="F72" s="48"/>
      <c r="G72" s="49"/>
      <c r="H72" s="49"/>
      <c r="I72" s="49"/>
      <c r="J72" s="49"/>
      <c r="K72" s="50"/>
      <c r="L72" s="50"/>
      <c r="M72" s="50"/>
      <c r="N72" s="50"/>
      <c r="O72" s="50"/>
      <c r="P72" s="50"/>
      <c r="R72" s="488"/>
    </row>
    <row r="73" spans="1:18" s="44" customFormat="1" ht="18.75" customHeight="1">
      <c r="A73" s="51"/>
      <c r="B73" s="96"/>
      <c r="C73" s="177" t="s">
        <v>176</v>
      </c>
      <c r="D73" s="52" t="s">
        <v>100</v>
      </c>
      <c r="E73" s="48">
        <v>3828.8</v>
      </c>
      <c r="F73" s="48"/>
      <c r="G73" s="49"/>
      <c r="H73" s="49"/>
      <c r="I73" s="49"/>
      <c r="J73" s="49"/>
      <c r="K73" s="50"/>
      <c r="L73" s="50"/>
      <c r="M73" s="50"/>
      <c r="N73" s="50"/>
      <c r="O73" s="50"/>
      <c r="P73" s="50"/>
      <c r="R73" s="488"/>
    </row>
    <row r="74" spans="1:18" s="84" customFormat="1" ht="72" customHeight="1">
      <c r="A74" s="51">
        <v>25</v>
      </c>
      <c r="B74" s="96"/>
      <c r="C74" s="47" t="s">
        <v>177</v>
      </c>
      <c r="D74" s="52" t="s">
        <v>34</v>
      </c>
      <c r="E74" s="48">
        <v>957.2</v>
      </c>
      <c r="F74" s="48"/>
      <c r="G74" s="49"/>
      <c r="H74" s="49"/>
      <c r="I74" s="49"/>
      <c r="J74" s="49"/>
      <c r="K74" s="50"/>
      <c r="L74" s="50"/>
      <c r="M74" s="50"/>
      <c r="N74" s="50"/>
      <c r="O74" s="50"/>
      <c r="P74" s="50"/>
      <c r="R74" s="488"/>
    </row>
    <row r="75" spans="1:18" s="84" customFormat="1" ht="33">
      <c r="A75" s="51"/>
      <c r="B75" s="96"/>
      <c r="C75" s="177" t="s">
        <v>178</v>
      </c>
      <c r="D75" s="52" t="s">
        <v>34</v>
      </c>
      <c r="E75" s="48">
        <v>1148.64</v>
      </c>
      <c r="F75" s="48"/>
      <c r="G75" s="49"/>
      <c r="H75" s="49"/>
      <c r="I75" s="49"/>
      <c r="J75" s="49"/>
      <c r="K75" s="50"/>
      <c r="L75" s="50"/>
      <c r="M75" s="50"/>
      <c r="N75" s="50"/>
      <c r="O75" s="50"/>
      <c r="P75" s="50"/>
      <c r="R75" s="488"/>
    </row>
    <row r="76" spans="1:18" s="84" customFormat="1" ht="16.5">
      <c r="A76" s="51"/>
      <c r="B76" s="96"/>
      <c r="C76" s="177" t="s">
        <v>179</v>
      </c>
      <c r="D76" s="52" t="s">
        <v>180</v>
      </c>
      <c r="E76" s="48">
        <v>11</v>
      </c>
      <c r="F76" s="48"/>
      <c r="G76" s="49"/>
      <c r="H76" s="49"/>
      <c r="I76" s="49"/>
      <c r="J76" s="49"/>
      <c r="K76" s="50"/>
      <c r="L76" s="50"/>
      <c r="M76" s="50"/>
      <c r="N76" s="50"/>
      <c r="O76" s="50"/>
      <c r="P76" s="50"/>
      <c r="R76" s="488"/>
    </row>
    <row r="77" spans="1:18" s="84" customFormat="1" ht="49.5">
      <c r="A77" s="51">
        <v>26</v>
      </c>
      <c r="B77" s="96"/>
      <c r="C77" s="47" t="s">
        <v>181</v>
      </c>
      <c r="D77" s="52" t="s">
        <v>34</v>
      </c>
      <c r="E77" s="48">
        <v>957.2</v>
      </c>
      <c r="F77" s="48"/>
      <c r="G77" s="49"/>
      <c r="H77" s="49"/>
      <c r="I77" s="49"/>
      <c r="J77" s="49"/>
      <c r="K77" s="50"/>
      <c r="L77" s="50"/>
      <c r="M77" s="50"/>
      <c r="N77" s="50"/>
      <c r="O77" s="50"/>
      <c r="P77" s="50"/>
      <c r="R77" s="488"/>
    </row>
    <row r="78" spans="1:18" s="84" customFormat="1" ht="33">
      <c r="A78" s="51"/>
      <c r="B78" s="96"/>
      <c r="C78" s="177" t="s">
        <v>182</v>
      </c>
      <c r="D78" s="52" t="s">
        <v>34</v>
      </c>
      <c r="E78" s="48">
        <v>1148.64</v>
      </c>
      <c r="F78" s="48"/>
      <c r="G78" s="49"/>
      <c r="H78" s="49"/>
      <c r="I78" s="49"/>
      <c r="J78" s="49"/>
      <c r="K78" s="50"/>
      <c r="L78" s="50"/>
      <c r="M78" s="50"/>
      <c r="N78" s="50"/>
      <c r="O78" s="50"/>
      <c r="P78" s="50"/>
      <c r="R78" s="488"/>
    </row>
    <row r="79" spans="1:18" s="84" customFormat="1" ht="16.5">
      <c r="A79" s="51"/>
      <c r="B79" s="96"/>
      <c r="C79" s="177" t="s">
        <v>179</v>
      </c>
      <c r="D79" s="52" t="s">
        <v>180</v>
      </c>
      <c r="E79" s="48">
        <v>11</v>
      </c>
      <c r="F79" s="48"/>
      <c r="G79" s="49"/>
      <c r="H79" s="49"/>
      <c r="I79" s="49"/>
      <c r="J79" s="49"/>
      <c r="K79" s="50"/>
      <c r="L79" s="50"/>
      <c r="M79" s="50"/>
      <c r="N79" s="50"/>
      <c r="O79" s="50"/>
      <c r="P79" s="50"/>
      <c r="R79" s="488"/>
    </row>
    <row r="80" spans="1:18" s="85" customFormat="1" ht="16.5">
      <c r="A80" s="51">
        <f>A77+1</f>
        <v>27</v>
      </c>
      <c r="B80" s="96"/>
      <c r="C80" s="47" t="s">
        <v>184</v>
      </c>
      <c r="D80" s="52" t="s">
        <v>100</v>
      </c>
      <c r="E80" s="48">
        <v>12</v>
      </c>
      <c r="F80" s="48"/>
      <c r="G80" s="49"/>
      <c r="H80" s="49"/>
      <c r="I80" s="49"/>
      <c r="J80" s="48"/>
      <c r="K80" s="50"/>
      <c r="L80" s="50"/>
      <c r="M80" s="50"/>
      <c r="N80" s="50"/>
      <c r="O80" s="50"/>
      <c r="P80" s="50"/>
      <c r="R80" s="488"/>
    </row>
    <row r="81" spans="1:18" s="84" customFormat="1" ht="18.75" customHeight="1">
      <c r="A81" s="51">
        <v>28</v>
      </c>
      <c r="B81" s="96"/>
      <c r="C81" s="47" t="s">
        <v>183</v>
      </c>
      <c r="D81" s="52" t="s">
        <v>69</v>
      </c>
      <c r="E81" s="48">
        <v>82</v>
      </c>
      <c r="F81" s="48"/>
      <c r="G81" s="49"/>
      <c r="H81" s="49"/>
      <c r="I81" s="49"/>
      <c r="J81" s="49"/>
      <c r="K81" s="50"/>
      <c r="L81" s="50"/>
      <c r="M81" s="50"/>
      <c r="N81" s="50"/>
      <c r="O81" s="50"/>
      <c r="P81" s="50"/>
      <c r="R81" s="488"/>
    </row>
    <row r="82" spans="1:18" s="85" customFormat="1" ht="33">
      <c r="A82" s="51">
        <v>29</v>
      </c>
      <c r="B82" s="96"/>
      <c r="C82" s="47" t="s">
        <v>199</v>
      </c>
      <c r="D82" s="52" t="s">
        <v>69</v>
      </c>
      <c r="E82" s="48">
        <f>115</f>
        <v>115</v>
      </c>
      <c r="F82" s="48"/>
      <c r="G82" s="49"/>
      <c r="H82" s="49"/>
      <c r="I82" s="49"/>
      <c r="J82" s="48"/>
      <c r="K82" s="50"/>
      <c r="L82" s="50"/>
      <c r="M82" s="50"/>
      <c r="N82" s="50"/>
      <c r="O82" s="50"/>
      <c r="P82" s="50"/>
      <c r="R82" s="488"/>
    </row>
    <row r="83" spans="1:18" s="85" customFormat="1" ht="29.25" customHeight="1">
      <c r="A83" s="51">
        <v>30</v>
      </c>
      <c r="B83" s="96"/>
      <c r="C83" s="47" t="s">
        <v>232</v>
      </c>
      <c r="D83" s="52" t="s">
        <v>69</v>
      </c>
      <c r="E83" s="48">
        <f>94</f>
        <v>94</v>
      </c>
      <c r="F83" s="48"/>
      <c r="G83" s="49"/>
      <c r="H83" s="49"/>
      <c r="I83" s="49"/>
      <c r="J83" s="48"/>
      <c r="K83" s="50"/>
      <c r="L83" s="50"/>
      <c r="M83" s="50"/>
      <c r="N83" s="50"/>
      <c r="O83" s="50"/>
      <c r="P83" s="50"/>
      <c r="R83" s="488"/>
    </row>
    <row r="84" spans="1:18" s="85" customFormat="1" ht="16.5">
      <c r="A84" s="51">
        <v>31</v>
      </c>
      <c r="B84" s="96"/>
      <c r="C84" s="47" t="s">
        <v>228</v>
      </c>
      <c r="D84" s="52" t="s">
        <v>34</v>
      </c>
      <c r="E84" s="48">
        <v>49.3</v>
      </c>
      <c r="F84" s="48"/>
      <c r="G84" s="49"/>
      <c r="H84" s="49"/>
      <c r="I84" s="49"/>
      <c r="J84" s="48"/>
      <c r="K84" s="50"/>
      <c r="L84" s="50"/>
      <c r="M84" s="50"/>
      <c r="N84" s="50"/>
      <c r="O84" s="50"/>
      <c r="P84" s="50"/>
      <c r="R84" s="488"/>
    </row>
    <row r="85" spans="1:18" s="85" customFormat="1" ht="16.5">
      <c r="A85" s="51"/>
      <c r="B85" s="96"/>
      <c r="C85" s="177" t="s">
        <v>46</v>
      </c>
      <c r="D85" s="52" t="s">
        <v>34</v>
      </c>
      <c r="E85" s="48">
        <f>E84*1.2</f>
        <v>59.16</v>
      </c>
      <c r="F85" s="48"/>
      <c r="G85" s="49"/>
      <c r="H85" s="49"/>
      <c r="I85" s="49"/>
      <c r="J85" s="48"/>
      <c r="K85" s="50"/>
      <c r="L85" s="50"/>
      <c r="M85" s="50"/>
      <c r="N85" s="50"/>
      <c r="O85" s="50"/>
      <c r="P85" s="50"/>
      <c r="R85" s="488"/>
    </row>
    <row r="86" spans="1:18" s="85" customFormat="1" ht="33">
      <c r="A86" s="51">
        <v>32</v>
      </c>
      <c r="B86" s="96"/>
      <c r="C86" s="47" t="s">
        <v>132</v>
      </c>
      <c r="D86" s="52" t="s">
        <v>50</v>
      </c>
      <c r="E86" s="48">
        <v>130</v>
      </c>
      <c r="F86" s="48"/>
      <c r="G86" s="49"/>
      <c r="H86" s="49"/>
      <c r="I86" s="49"/>
      <c r="J86" s="48"/>
      <c r="K86" s="50"/>
      <c r="L86" s="50"/>
      <c r="M86" s="50"/>
      <c r="N86" s="50"/>
      <c r="O86" s="50"/>
      <c r="P86" s="50"/>
      <c r="R86" s="488"/>
    </row>
    <row r="87" spans="1:18" s="109" customFormat="1" ht="17.25" thickBot="1">
      <c r="A87" s="56"/>
      <c r="B87" s="56"/>
      <c r="C87" s="203"/>
      <c r="D87" s="56"/>
      <c r="E87" s="204"/>
      <c r="F87" s="58"/>
      <c r="G87" s="58"/>
      <c r="H87" s="58"/>
      <c r="I87" s="205"/>
      <c r="J87" s="205"/>
      <c r="K87" s="205"/>
      <c r="L87" s="58"/>
      <c r="M87" s="58"/>
      <c r="N87" s="58"/>
      <c r="O87" s="58"/>
      <c r="P87" s="205"/>
      <c r="R87" s="488">
        <f>M87+N87+O87</f>
        <v>0</v>
      </c>
    </row>
    <row r="88" spans="1:18" s="116" customFormat="1" ht="16.5">
      <c r="A88" s="206"/>
      <c r="B88" s="207"/>
      <c r="C88" s="208" t="s">
        <v>53</v>
      </c>
      <c r="D88" s="207" t="s">
        <v>54</v>
      </c>
      <c r="E88" s="209"/>
      <c r="F88" s="209"/>
      <c r="G88" s="210"/>
      <c r="H88" s="211"/>
      <c r="I88" s="210"/>
      <c r="J88" s="210"/>
      <c r="K88" s="210"/>
      <c r="L88" s="210">
        <f>SUM(L18:L87)</f>
        <v>0</v>
      </c>
      <c r="M88" s="210">
        <f>SUM(M18:M87)</f>
        <v>0</v>
      </c>
      <c r="N88" s="210">
        <f>SUM(N18:N87)</f>
        <v>0</v>
      </c>
      <c r="O88" s="210">
        <f>SUM(O18:O87)</f>
        <v>0</v>
      </c>
      <c r="P88" s="212">
        <f>SUM(P18:P87)</f>
        <v>0</v>
      </c>
      <c r="R88" s="303"/>
    </row>
    <row r="89" spans="1:16" s="28" customFormat="1" ht="16.5">
      <c r="A89" s="535" t="s">
        <v>55</v>
      </c>
      <c r="B89" s="524"/>
      <c r="C89" s="524"/>
      <c r="D89" s="524"/>
      <c r="E89" s="524"/>
      <c r="F89" s="524"/>
      <c r="G89" s="524"/>
      <c r="H89" s="524"/>
      <c r="I89" s="524"/>
      <c r="J89" s="524"/>
      <c r="K89" s="524"/>
      <c r="L89" s="70"/>
      <c r="M89" s="300"/>
      <c r="N89" s="304">
        <f>ROUND(N88*0.05,2)</f>
        <v>0</v>
      </c>
      <c r="O89" s="300"/>
      <c r="P89" s="305">
        <f>SUM(M89:O89)</f>
        <v>0</v>
      </c>
    </row>
    <row r="90" spans="1:18" s="74" customFormat="1" ht="17.25" thickBot="1">
      <c r="A90" s="536" t="s">
        <v>56</v>
      </c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213">
        <f>SUM(L88:L89)</f>
        <v>0</v>
      </c>
      <c r="M90" s="213">
        <f>SUM(M88:M89)</f>
        <v>0</v>
      </c>
      <c r="N90" s="213">
        <f>SUM(N88:N89)</f>
        <v>0</v>
      </c>
      <c r="O90" s="213">
        <f>SUM(O88:O89)</f>
        <v>0</v>
      </c>
      <c r="P90" s="214">
        <f>SUM(M90:O90)</f>
        <v>0</v>
      </c>
      <c r="R90" s="489"/>
    </row>
    <row r="91" spans="1:15" s="78" customFormat="1" ht="16.5">
      <c r="A91" s="75"/>
      <c r="B91" s="75"/>
      <c r="C91" s="76"/>
      <c r="D91" s="77"/>
      <c r="E91" s="77"/>
      <c r="F91" s="77"/>
      <c r="G91" s="77"/>
      <c r="H91" s="77"/>
      <c r="I91" s="77"/>
      <c r="J91" s="77"/>
      <c r="K91" s="77"/>
      <c r="L91" s="76"/>
      <c r="M91" s="76"/>
      <c r="N91" s="76"/>
      <c r="O91" s="76"/>
    </row>
    <row r="92" spans="1:15" s="78" customFormat="1" ht="16.5">
      <c r="A92" s="75"/>
      <c r="B92" s="75"/>
      <c r="C92" s="76"/>
      <c r="D92" s="77"/>
      <c r="E92" s="77"/>
      <c r="F92" s="77"/>
      <c r="G92" s="77"/>
      <c r="H92" s="77"/>
      <c r="I92" s="77"/>
      <c r="J92" s="77"/>
      <c r="K92" s="77"/>
      <c r="L92" s="76"/>
      <c r="M92" s="76"/>
      <c r="N92" s="76"/>
      <c r="O92" s="76"/>
    </row>
    <row r="93" spans="1:8" s="78" customFormat="1" ht="16.5">
      <c r="A93" s="510" t="s">
        <v>82</v>
      </c>
      <c r="B93" s="510"/>
      <c r="C93" s="144"/>
      <c r="D93" s="145"/>
      <c r="E93" s="175"/>
      <c r="F93" s="175"/>
      <c r="G93" s="175"/>
      <c r="H93" s="175"/>
    </row>
    <row r="94" spans="1:15" s="78" customFormat="1" ht="16.5">
      <c r="A94" s="146"/>
      <c r="B94" s="146"/>
      <c r="C94" s="147" t="s">
        <v>83</v>
      </c>
      <c r="D94" s="148"/>
      <c r="E94" s="150"/>
      <c r="F94" s="150"/>
      <c r="G94" s="150"/>
      <c r="H94" s="150"/>
      <c r="I94" s="219"/>
      <c r="J94" s="219"/>
      <c r="K94" s="219"/>
      <c r="L94" s="219"/>
      <c r="M94" s="219"/>
      <c r="N94" s="219"/>
      <c r="O94" s="219"/>
    </row>
    <row r="95" spans="1:16" s="215" customFormat="1" ht="16.5">
      <c r="A95" s="146"/>
      <c r="B95" s="146"/>
      <c r="C95" s="146"/>
      <c r="D95" s="146"/>
      <c r="E95" s="150"/>
      <c r="F95" s="150"/>
      <c r="G95" s="150"/>
      <c r="H95" s="150"/>
      <c r="I95" s="216"/>
      <c r="J95" s="216"/>
      <c r="K95" s="216"/>
      <c r="L95" s="216"/>
      <c r="M95" s="216"/>
      <c r="N95" s="216"/>
      <c r="O95" s="216"/>
      <c r="P95" s="216"/>
    </row>
    <row r="96" spans="1:8" s="217" customFormat="1" ht="16.5">
      <c r="A96" s="490" t="s">
        <v>84</v>
      </c>
      <c r="B96" s="490"/>
      <c r="C96" s="144"/>
      <c r="D96" s="145"/>
      <c r="E96" s="150"/>
      <c r="F96" s="150"/>
      <c r="G96" s="150"/>
      <c r="H96" s="150"/>
    </row>
    <row r="97" spans="5:7" s="217" customFormat="1" ht="16.5">
      <c r="E97" s="218"/>
      <c r="G97" s="219"/>
    </row>
    <row r="98" spans="5:7" s="217" customFormat="1" ht="16.5">
      <c r="E98" s="218"/>
      <c r="G98" s="219"/>
    </row>
    <row r="99" spans="5:7" s="217" customFormat="1" ht="16.5">
      <c r="E99" s="218"/>
      <c r="G99" s="219"/>
    </row>
    <row r="100" spans="5:7" s="217" customFormat="1" ht="16.5">
      <c r="E100" s="218"/>
      <c r="G100" s="219"/>
    </row>
    <row r="101" spans="5:7" s="217" customFormat="1" ht="16.5">
      <c r="E101" s="218"/>
      <c r="G101" s="219"/>
    </row>
    <row r="102" spans="5:7" s="217" customFormat="1" ht="16.5">
      <c r="E102" s="218"/>
      <c r="G102" s="219"/>
    </row>
    <row r="103" spans="5:7" s="217" customFormat="1" ht="16.5">
      <c r="E103" s="218"/>
      <c r="G103" s="219"/>
    </row>
    <row r="104" spans="5:7" s="217" customFormat="1" ht="16.5">
      <c r="E104" s="218"/>
      <c r="G104" s="219"/>
    </row>
    <row r="105" spans="5:7" s="217" customFormat="1" ht="16.5">
      <c r="E105" s="218"/>
      <c r="G105" s="219"/>
    </row>
    <row r="106" spans="5:7" s="217" customFormat="1" ht="16.5">
      <c r="E106" s="218"/>
      <c r="G106" s="219"/>
    </row>
    <row r="107" spans="1:7" ht="16.5">
      <c r="A107" s="217"/>
      <c r="B107" s="217"/>
      <c r="C107" s="217"/>
      <c r="D107" s="217"/>
      <c r="E107" s="218"/>
      <c r="F107" s="217"/>
      <c r="G107" s="219"/>
    </row>
    <row r="108" spans="1:7" ht="16.5">
      <c r="A108" s="217"/>
      <c r="B108" s="217"/>
      <c r="C108" s="217"/>
      <c r="D108" s="217"/>
      <c r="E108" s="218"/>
      <c r="F108" s="217"/>
      <c r="G108" s="219"/>
    </row>
    <row r="109" spans="1:7" ht="16.5">
      <c r="A109" s="217"/>
      <c r="B109" s="217"/>
      <c r="C109" s="217"/>
      <c r="D109" s="217"/>
      <c r="E109" s="218"/>
      <c r="F109" s="217"/>
      <c r="G109" s="219"/>
    </row>
    <row r="110" spans="1:7" ht="16.5">
      <c r="A110" s="217"/>
      <c r="B110" s="217"/>
      <c r="C110" s="217"/>
      <c r="D110" s="217"/>
      <c r="E110" s="218"/>
      <c r="F110" s="217"/>
      <c r="G110" s="219"/>
    </row>
    <row r="111" spans="1:7" ht="16.5">
      <c r="A111" s="217"/>
      <c r="B111" s="217"/>
      <c r="C111" s="217"/>
      <c r="D111" s="217"/>
      <c r="E111" s="218"/>
      <c r="F111" s="217"/>
      <c r="G111" s="219"/>
    </row>
    <row r="112" spans="1:7" ht="16.5">
      <c r="A112" s="217"/>
      <c r="B112" s="217"/>
      <c r="C112" s="217"/>
      <c r="D112" s="217"/>
      <c r="E112" s="218"/>
      <c r="F112" s="217"/>
      <c r="G112" s="219"/>
    </row>
    <row r="113" spans="1:7" ht="16.5">
      <c r="A113" s="217"/>
      <c r="B113" s="217"/>
      <c r="C113" s="217"/>
      <c r="D113" s="217"/>
      <c r="E113" s="218"/>
      <c r="F113" s="217"/>
      <c r="G113" s="219"/>
    </row>
    <row r="114" spans="1:7" ht="16.5">
      <c r="A114" s="217"/>
      <c r="B114" s="217"/>
      <c r="C114" s="217"/>
      <c r="D114" s="217"/>
      <c r="E114" s="218"/>
      <c r="F114" s="217"/>
      <c r="G114" s="219"/>
    </row>
    <row r="115" spans="1:7" ht="16.5">
      <c r="A115" s="217"/>
      <c r="B115" s="217"/>
      <c r="C115" s="217"/>
      <c r="D115" s="217"/>
      <c r="E115" s="218"/>
      <c r="F115" s="217"/>
      <c r="G115" s="219"/>
    </row>
    <row r="116" spans="1:7" ht="16.5">
      <c r="A116" s="217"/>
      <c r="B116" s="217"/>
      <c r="C116" s="217"/>
      <c r="D116" s="217"/>
      <c r="E116" s="218"/>
      <c r="F116" s="217"/>
      <c r="G116" s="219"/>
    </row>
    <row r="117" spans="1:7" ht="16.5">
      <c r="A117" s="217"/>
      <c r="B117" s="217"/>
      <c r="C117" s="217"/>
      <c r="D117" s="217"/>
      <c r="E117" s="218"/>
      <c r="F117" s="217"/>
      <c r="G117" s="219"/>
    </row>
    <row r="118" spans="1:7" ht="16.5">
      <c r="A118" s="217"/>
      <c r="B118" s="217"/>
      <c r="C118" s="217"/>
      <c r="D118" s="217"/>
      <c r="E118" s="218"/>
      <c r="F118" s="217"/>
      <c r="G118" s="219"/>
    </row>
    <row r="119" spans="1:7" ht="16.5">
      <c r="A119" s="217"/>
      <c r="B119" s="217"/>
      <c r="C119" s="217"/>
      <c r="D119" s="217"/>
      <c r="E119" s="218"/>
      <c r="F119" s="217"/>
      <c r="G119" s="219"/>
    </row>
    <row r="120" spans="1:7" ht="16.5">
      <c r="A120" s="217"/>
      <c r="B120" s="217"/>
      <c r="C120" s="217"/>
      <c r="D120" s="217"/>
      <c r="E120" s="218"/>
      <c r="F120" s="217"/>
      <c r="G120" s="219"/>
    </row>
    <row r="121" spans="1:7" ht="16.5">
      <c r="A121" s="217"/>
      <c r="B121" s="217"/>
      <c r="C121" s="217"/>
      <c r="D121" s="217"/>
      <c r="E121" s="218"/>
      <c r="F121" s="217"/>
      <c r="G121" s="219"/>
    </row>
    <row r="122" spans="1:7" ht="16.5">
      <c r="A122" s="217"/>
      <c r="B122" s="217"/>
      <c r="C122" s="217"/>
      <c r="D122" s="217"/>
      <c r="E122" s="218"/>
      <c r="F122" s="217"/>
      <c r="G122" s="219"/>
    </row>
    <row r="123" spans="1:7" ht="16.5">
      <c r="A123" s="217"/>
      <c r="B123" s="217"/>
      <c r="C123" s="217"/>
      <c r="D123" s="217"/>
      <c r="E123" s="218"/>
      <c r="F123" s="217"/>
      <c r="G123" s="219"/>
    </row>
    <row r="124" spans="1:7" ht="16.5">
      <c r="A124" s="217"/>
      <c r="B124" s="217"/>
      <c r="C124" s="217"/>
      <c r="D124" s="217"/>
      <c r="E124" s="218"/>
      <c r="F124" s="217"/>
      <c r="G124" s="219"/>
    </row>
    <row r="125" spans="1:7" ht="16.5">
      <c r="A125" s="217"/>
      <c r="B125" s="217"/>
      <c r="C125" s="217"/>
      <c r="D125" s="217"/>
      <c r="E125" s="218"/>
      <c r="F125" s="217"/>
      <c r="G125" s="219"/>
    </row>
    <row r="126" spans="1:7" ht="16.5">
      <c r="A126" s="217"/>
      <c r="B126" s="217"/>
      <c r="C126" s="217"/>
      <c r="D126" s="217"/>
      <c r="E126" s="218"/>
      <c r="F126" s="217"/>
      <c r="G126" s="219"/>
    </row>
    <row r="127" spans="1:7" ht="16.5">
      <c r="A127" s="217"/>
      <c r="B127" s="217"/>
      <c r="C127" s="217"/>
      <c r="D127" s="217"/>
      <c r="E127" s="218"/>
      <c r="F127" s="217"/>
      <c r="G127" s="219"/>
    </row>
    <row r="128" spans="1:7" ht="16.5">
      <c r="A128" s="217"/>
      <c r="B128" s="217"/>
      <c r="C128" s="217"/>
      <c r="D128" s="217"/>
      <c r="E128" s="218"/>
      <c r="F128" s="217"/>
      <c r="G128" s="219"/>
    </row>
    <row r="129" spans="1:7" ht="16.5">
      <c r="A129" s="217"/>
      <c r="B129" s="217"/>
      <c r="C129" s="217"/>
      <c r="D129" s="217"/>
      <c r="E129" s="218"/>
      <c r="F129" s="217"/>
      <c r="G129" s="219"/>
    </row>
    <row r="130" spans="1:7" ht="16.5">
      <c r="A130" s="217"/>
      <c r="B130" s="217"/>
      <c r="C130" s="217"/>
      <c r="D130" s="217"/>
      <c r="E130" s="218"/>
      <c r="F130" s="217"/>
      <c r="G130" s="219"/>
    </row>
    <row r="131" spans="1:7" ht="16.5">
      <c r="A131" s="217"/>
      <c r="B131" s="217"/>
      <c r="C131" s="217"/>
      <c r="D131" s="217"/>
      <c r="E131" s="218"/>
      <c r="F131" s="217"/>
      <c r="G131" s="219"/>
    </row>
    <row r="132" spans="1:7" ht="16.5">
      <c r="A132" s="217"/>
      <c r="B132" s="217"/>
      <c r="C132" s="217"/>
      <c r="D132" s="217"/>
      <c r="E132" s="218"/>
      <c r="F132" s="217"/>
      <c r="G132" s="219"/>
    </row>
    <row r="133" spans="1:7" ht="16.5">
      <c r="A133" s="217"/>
      <c r="B133" s="217"/>
      <c r="C133" s="217"/>
      <c r="D133" s="217"/>
      <c r="E133" s="218"/>
      <c r="F133" s="217"/>
      <c r="G133" s="219"/>
    </row>
    <row r="134" spans="1:7" ht="16.5">
      <c r="A134" s="217"/>
      <c r="B134" s="217"/>
      <c r="C134" s="217"/>
      <c r="D134" s="217"/>
      <c r="E134" s="218"/>
      <c r="F134" s="217"/>
      <c r="G134" s="219"/>
    </row>
    <row r="135" spans="1:7" ht="16.5">
      <c r="A135" s="217"/>
      <c r="B135" s="217"/>
      <c r="C135" s="217"/>
      <c r="D135" s="217"/>
      <c r="E135" s="218"/>
      <c r="F135" s="217"/>
      <c r="G135" s="219"/>
    </row>
    <row r="136" spans="1:7" ht="16.5">
      <c r="A136" s="217"/>
      <c r="B136" s="217"/>
      <c r="C136" s="217"/>
      <c r="D136" s="217"/>
      <c r="E136" s="218"/>
      <c r="F136" s="217"/>
      <c r="G136" s="219"/>
    </row>
    <row r="137" spans="1:7" ht="16.5">
      <c r="A137" s="217"/>
      <c r="B137" s="217"/>
      <c r="C137" s="217"/>
      <c r="D137" s="217"/>
      <c r="E137" s="218"/>
      <c r="F137" s="217"/>
      <c r="G137" s="219"/>
    </row>
    <row r="138" spans="1:7" ht="16.5">
      <c r="A138" s="217"/>
      <c r="B138" s="217"/>
      <c r="C138" s="217"/>
      <c r="D138" s="217"/>
      <c r="E138" s="218"/>
      <c r="F138" s="217"/>
      <c r="G138" s="219"/>
    </row>
    <row r="139" spans="1:7" ht="16.5">
      <c r="A139" s="217"/>
      <c r="B139" s="217"/>
      <c r="C139" s="217"/>
      <c r="D139" s="217"/>
      <c r="E139" s="218"/>
      <c r="F139" s="217"/>
      <c r="G139" s="219"/>
    </row>
    <row r="140" spans="1:7" ht="16.5">
      <c r="A140" s="217"/>
      <c r="B140" s="217"/>
      <c r="C140" s="217"/>
      <c r="D140" s="217"/>
      <c r="E140" s="218"/>
      <c r="F140" s="217"/>
      <c r="G140" s="219"/>
    </row>
    <row r="141" spans="1:7" ht="16.5">
      <c r="A141" s="217"/>
      <c r="B141" s="217"/>
      <c r="C141" s="217"/>
      <c r="D141" s="217"/>
      <c r="E141" s="218"/>
      <c r="F141" s="217"/>
      <c r="G141" s="219"/>
    </row>
    <row r="142" spans="1:7" ht="16.5">
      <c r="A142" s="217"/>
      <c r="B142" s="217"/>
      <c r="C142" s="217"/>
      <c r="D142" s="217"/>
      <c r="E142" s="218"/>
      <c r="F142" s="217"/>
      <c r="G142" s="219"/>
    </row>
    <row r="143" spans="1:7" ht="16.5">
      <c r="A143" s="217"/>
      <c r="B143" s="217"/>
      <c r="C143" s="217"/>
      <c r="D143" s="217"/>
      <c r="E143" s="218"/>
      <c r="F143" s="217"/>
      <c r="G143" s="219"/>
    </row>
    <row r="144" spans="1:7" ht="16.5">
      <c r="A144" s="217"/>
      <c r="B144" s="217"/>
      <c r="C144" s="217"/>
      <c r="D144" s="217"/>
      <c r="E144" s="218"/>
      <c r="F144" s="217"/>
      <c r="G144" s="219"/>
    </row>
    <row r="145" spans="1:7" ht="16.5">
      <c r="A145" s="217"/>
      <c r="B145" s="217"/>
      <c r="C145" s="217"/>
      <c r="D145" s="217"/>
      <c r="E145" s="218"/>
      <c r="F145" s="217"/>
      <c r="G145" s="219"/>
    </row>
    <row r="146" spans="1:7" ht="16.5">
      <c r="A146" s="217"/>
      <c r="B146" s="217"/>
      <c r="C146" s="217"/>
      <c r="D146" s="217"/>
      <c r="E146" s="218"/>
      <c r="F146" s="217"/>
      <c r="G146" s="219"/>
    </row>
    <row r="147" spans="1:7" ht="16.5">
      <c r="A147" s="217"/>
      <c r="B147" s="217"/>
      <c r="C147" s="217"/>
      <c r="D147" s="217"/>
      <c r="E147" s="218"/>
      <c r="F147" s="217"/>
      <c r="G147" s="219"/>
    </row>
    <row r="148" spans="1:7" ht="16.5">
      <c r="A148" s="217"/>
      <c r="B148" s="217"/>
      <c r="C148" s="217"/>
      <c r="D148" s="217"/>
      <c r="E148" s="218"/>
      <c r="F148" s="217"/>
      <c r="G148" s="219"/>
    </row>
    <row r="149" spans="1:7" ht="16.5">
      <c r="A149" s="217"/>
      <c r="B149" s="217"/>
      <c r="C149" s="217"/>
      <c r="D149" s="217"/>
      <c r="E149" s="218"/>
      <c r="F149" s="217"/>
      <c r="G149" s="219"/>
    </row>
    <row r="150" spans="1:7" ht="16.5">
      <c r="A150" s="217"/>
      <c r="B150" s="217"/>
      <c r="C150" s="217"/>
      <c r="D150" s="217"/>
      <c r="E150" s="218"/>
      <c r="F150" s="217"/>
      <c r="G150" s="219"/>
    </row>
    <row r="151" spans="1:7" ht="16.5">
      <c r="A151" s="217"/>
      <c r="B151" s="217"/>
      <c r="C151" s="217"/>
      <c r="D151" s="217"/>
      <c r="E151" s="218"/>
      <c r="F151" s="217"/>
      <c r="G151" s="219"/>
    </row>
  </sheetData>
  <sheetProtection/>
  <mergeCells count="25">
    <mergeCell ref="A93:B93"/>
    <mergeCell ref="A89:K89"/>
    <mergeCell ref="A90:K90"/>
    <mergeCell ref="E14:E15"/>
    <mergeCell ref="A14:A15"/>
    <mergeCell ref="B14:B15"/>
    <mergeCell ref="C14:C15"/>
    <mergeCell ref="D14:D15"/>
    <mergeCell ref="F14:K14"/>
    <mergeCell ref="A9:C9"/>
    <mergeCell ref="A11:P11"/>
    <mergeCell ref="D6:P6"/>
    <mergeCell ref="A7:C7"/>
    <mergeCell ref="D7:P7"/>
    <mergeCell ref="A6:C6"/>
    <mergeCell ref="L14:P14"/>
    <mergeCell ref="A1:P1"/>
    <mergeCell ref="A2:P2"/>
    <mergeCell ref="A3:P3"/>
    <mergeCell ref="A5:C5"/>
    <mergeCell ref="D5:P5"/>
    <mergeCell ref="A12:D12"/>
    <mergeCell ref="O10:P10"/>
    <mergeCell ref="A8:C8"/>
    <mergeCell ref="D8:P8"/>
  </mergeCells>
  <printOptions/>
  <pageMargins left="0.25" right="0.2" top="0.75" bottom="0.75" header="0.28" footer="0.3"/>
  <pageSetup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45">
      <selection activeCell="C48" sqref="C48"/>
    </sheetView>
  </sheetViews>
  <sheetFormatPr defaultColWidth="8.8515625" defaultRowHeight="15"/>
  <cols>
    <col min="1" max="1" width="4.8515625" style="80" customWidth="1"/>
    <col min="2" max="2" width="5.28125" style="80" customWidth="1"/>
    <col min="3" max="3" width="48.00390625" style="80" customWidth="1"/>
    <col min="4" max="4" width="7.7109375" style="80" customWidth="1"/>
    <col min="5" max="5" width="8.421875" style="81" customWidth="1"/>
    <col min="6" max="6" width="9.28125" style="80" customWidth="1"/>
    <col min="7" max="7" width="9.140625" style="82" customWidth="1"/>
    <col min="8" max="11" width="9.140625" style="80" customWidth="1"/>
    <col min="12" max="15" width="8.8515625" style="80" customWidth="1"/>
    <col min="16" max="16" width="10.00390625" style="80" customWidth="1"/>
    <col min="17" max="211" width="9.140625" style="80" customWidth="1"/>
    <col min="212" max="232" width="7.140625" style="80" customWidth="1"/>
    <col min="233" max="233" width="5.7109375" style="80" customWidth="1"/>
    <col min="234" max="234" width="5.28125" style="80" customWidth="1"/>
    <col min="235" max="235" width="39.8515625" style="80" customWidth="1"/>
    <col min="236" max="236" width="7.7109375" style="80" customWidth="1"/>
    <col min="237" max="237" width="8.421875" style="80" customWidth="1"/>
    <col min="238" max="238" width="9.28125" style="80" customWidth="1"/>
    <col min="239" max="243" width="9.140625" style="80" customWidth="1"/>
    <col min="244" max="16384" width="8.8515625" style="80" customWidth="1"/>
  </cols>
  <sheetData>
    <row r="1" spans="1:16" s="1" customFormat="1" ht="18">
      <c r="A1" s="527" t="s">
        <v>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8">
      <c r="A2" s="528" t="s">
        <v>70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2.75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0" customFormat="1" ht="16.5" customHeight="1">
      <c r="A8" s="519" t="s">
        <v>14</v>
      </c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6" customFormat="1" ht="16.5">
      <c r="A9" s="532"/>
      <c r="B9" s="532"/>
      <c r="C9" s="532"/>
      <c r="D9" s="13"/>
      <c r="E9" s="13"/>
      <c r="F9" s="14"/>
      <c r="G9" s="13"/>
      <c r="H9" s="13"/>
      <c r="I9" s="13"/>
      <c r="J9" s="13"/>
      <c r="K9" s="13"/>
      <c r="L9" s="14"/>
      <c r="M9" s="15"/>
      <c r="N9" s="15"/>
      <c r="O9" s="15"/>
      <c r="P9" s="15"/>
    </row>
    <row r="10" spans="1:16" s="16" customFormat="1" ht="16.5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P52</f>
        <v>0</v>
      </c>
      <c r="P10" s="531"/>
    </row>
    <row r="11" spans="1:16" s="11" customFormat="1" ht="16.5">
      <c r="A11" s="525" t="s">
        <v>373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11" customFormat="1" ht="16.5">
      <c r="A12" s="526"/>
      <c r="B12" s="526"/>
      <c r="C12" s="526"/>
      <c r="D12" s="526"/>
      <c r="E12" s="20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3"/>
    </row>
    <row r="13" spans="1:16" s="28" customFormat="1" ht="16.5">
      <c r="A13" s="24"/>
      <c r="B13" s="24"/>
      <c r="C13" s="25"/>
      <c r="D13" s="25"/>
      <c r="E13" s="26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</row>
    <row r="14" spans="1:16" s="31" customFormat="1" ht="12.75">
      <c r="A14" s="517" t="s">
        <v>89</v>
      </c>
      <c r="B14" s="517" t="s">
        <v>17</v>
      </c>
      <c r="C14" s="533" t="s">
        <v>18</v>
      </c>
      <c r="D14" s="517" t="s">
        <v>19</v>
      </c>
      <c r="E14" s="517" t="s">
        <v>20</v>
      </c>
      <c r="F14" s="517" t="s">
        <v>21</v>
      </c>
      <c r="G14" s="517"/>
      <c r="H14" s="517"/>
      <c r="I14" s="517"/>
      <c r="J14" s="517"/>
      <c r="K14" s="517"/>
      <c r="L14" s="517" t="s">
        <v>22</v>
      </c>
      <c r="M14" s="517"/>
      <c r="N14" s="517"/>
      <c r="O14" s="517"/>
      <c r="P14" s="517"/>
    </row>
    <row r="15" spans="1:16" s="31" customFormat="1" ht="51">
      <c r="A15" s="517"/>
      <c r="B15" s="517"/>
      <c r="C15" s="533"/>
      <c r="D15" s="517"/>
      <c r="E15" s="517"/>
      <c r="F15" s="29" t="s">
        <v>23</v>
      </c>
      <c r="G15" s="29" t="s">
        <v>24</v>
      </c>
      <c r="H15" s="29" t="s">
        <v>25</v>
      </c>
      <c r="I15" s="29" t="s">
        <v>26</v>
      </c>
      <c r="J15" s="29" t="s">
        <v>27</v>
      </c>
      <c r="K15" s="29" t="s">
        <v>28</v>
      </c>
      <c r="L15" s="29" t="s">
        <v>29</v>
      </c>
      <c r="M15" s="29" t="s">
        <v>30</v>
      </c>
      <c r="N15" s="29" t="s">
        <v>31</v>
      </c>
      <c r="O15" s="29" t="s">
        <v>32</v>
      </c>
      <c r="P15" s="29" t="s">
        <v>33</v>
      </c>
    </row>
    <row r="16" spans="1:16" s="31" customFormat="1" ht="12.75">
      <c r="A16" s="87">
        <v>1</v>
      </c>
      <c r="B16" s="87"/>
      <c r="C16" s="88">
        <v>2</v>
      </c>
      <c r="D16" s="87">
        <v>3</v>
      </c>
      <c r="E16" s="87">
        <v>4</v>
      </c>
      <c r="F16" s="87">
        <v>5</v>
      </c>
      <c r="G16" s="87">
        <v>6</v>
      </c>
      <c r="H16" s="87">
        <v>7</v>
      </c>
      <c r="I16" s="87">
        <v>8</v>
      </c>
      <c r="J16" s="87">
        <v>9</v>
      </c>
      <c r="K16" s="87">
        <v>10</v>
      </c>
      <c r="L16" s="87">
        <v>11</v>
      </c>
      <c r="M16" s="87">
        <v>12</v>
      </c>
      <c r="N16" s="87">
        <v>13</v>
      </c>
      <c r="O16" s="87">
        <v>14</v>
      </c>
      <c r="P16" s="87">
        <v>15</v>
      </c>
    </row>
    <row r="17" spans="1:16" s="37" customFormat="1" ht="16.5">
      <c r="A17" s="259"/>
      <c r="B17" s="33"/>
      <c r="C17" s="33" t="s">
        <v>151</v>
      </c>
      <c r="D17" s="33"/>
      <c r="E17" s="194"/>
      <c r="F17" s="194"/>
      <c r="G17" s="194"/>
      <c r="H17" s="254"/>
      <c r="I17" s="194"/>
      <c r="J17" s="194"/>
      <c r="K17" s="194"/>
      <c r="L17" s="194"/>
      <c r="M17" s="194"/>
      <c r="N17" s="194"/>
      <c r="O17" s="194"/>
      <c r="P17" s="194"/>
    </row>
    <row r="18" spans="1:16" s="102" customFormat="1" ht="16.5">
      <c r="A18" s="103">
        <v>1</v>
      </c>
      <c r="B18" s="103"/>
      <c r="C18" s="108" t="s">
        <v>71</v>
      </c>
      <c r="D18" s="103" t="s">
        <v>34</v>
      </c>
      <c r="E18" s="106">
        <f>E19</f>
        <v>281.82</v>
      </c>
      <c r="F18" s="104"/>
      <c r="G18" s="104"/>
      <c r="H18" s="104"/>
      <c r="I18" s="107"/>
      <c r="J18" s="198"/>
      <c r="K18" s="105"/>
      <c r="L18" s="104"/>
      <c r="M18" s="104"/>
      <c r="N18" s="104"/>
      <c r="O18" s="104"/>
      <c r="P18" s="105"/>
    </row>
    <row r="19" spans="1:18" s="102" customFormat="1" ht="132">
      <c r="A19" s="103">
        <f>A18+1</f>
        <v>2</v>
      </c>
      <c r="B19" s="103"/>
      <c r="C19" s="108" t="s">
        <v>207</v>
      </c>
      <c r="D19" s="103" t="s">
        <v>34</v>
      </c>
      <c r="E19" s="106">
        <f>SUM(E20:E27)</f>
        <v>281.82</v>
      </c>
      <c r="F19" s="104"/>
      <c r="G19" s="104"/>
      <c r="H19" s="104"/>
      <c r="I19" s="107"/>
      <c r="J19" s="198"/>
      <c r="K19" s="105"/>
      <c r="L19" s="104"/>
      <c r="M19" s="104"/>
      <c r="N19" s="104"/>
      <c r="O19" s="104"/>
      <c r="P19" s="105"/>
      <c r="R19" s="246"/>
    </row>
    <row r="20" spans="1:16" s="102" customFormat="1" ht="16.5">
      <c r="A20" s="103"/>
      <c r="B20" s="327"/>
      <c r="C20" s="328" t="s">
        <v>263</v>
      </c>
      <c r="D20" s="327" t="s">
        <v>34</v>
      </c>
      <c r="E20" s="329">
        <v>66.24</v>
      </c>
      <c r="F20" s="104"/>
      <c r="G20" s="104"/>
      <c r="H20" s="104"/>
      <c r="I20" s="104"/>
      <c r="J20" s="198"/>
      <c r="K20" s="105"/>
      <c r="L20" s="104"/>
      <c r="M20" s="104"/>
      <c r="N20" s="104"/>
      <c r="O20" s="104"/>
      <c r="P20" s="105"/>
    </row>
    <row r="21" spans="1:16" s="102" customFormat="1" ht="16.5">
      <c r="A21" s="103"/>
      <c r="B21" s="100"/>
      <c r="C21" s="330" t="s">
        <v>264</v>
      </c>
      <c r="D21" s="103" t="s">
        <v>34</v>
      </c>
      <c r="E21" s="101">
        <f>1.1*0.9*11</f>
        <v>10.89</v>
      </c>
      <c r="F21" s="104"/>
      <c r="G21" s="104"/>
      <c r="H21" s="104"/>
      <c r="I21" s="104"/>
      <c r="J21" s="198"/>
      <c r="K21" s="105"/>
      <c r="L21" s="104"/>
      <c r="M21" s="104"/>
      <c r="N21" s="104"/>
      <c r="O21" s="104"/>
      <c r="P21" s="105"/>
    </row>
    <row r="22" spans="1:16" s="102" customFormat="1" ht="16.5">
      <c r="A22" s="103"/>
      <c r="B22" s="100"/>
      <c r="C22" s="330" t="s">
        <v>234</v>
      </c>
      <c r="D22" s="100" t="s">
        <v>34</v>
      </c>
      <c r="E22" s="101">
        <f>0.55*4.1*6</f>
        <v>13.53</v>
      </c>
      <c r="F22" s="104"/>
      <c r="G22" s="98"/>
      <c r="H22" s="98"/>
      <c r="I22" s="104"/>
      <c r="J22" s="198"/>
      <c r="K22" s="105"/>
      <c r="L22" s="104"/>
      <c r="M22" s="104"/>
      <c r="N22" s="104"/>
      <c r="O22" s="104"/>
      <c r="P22" s="105"/>
    </row>
    <row r="23" spans="1:16" s="102" customFormat="1" ht="16.5">
      <c r="A23" s="103"/>
      <c r="B23" s="100"/>
      <c r="C23" s="330" t="s">
        <v>235</v>
      </c>
      <c r="D23" s="100" t="s">
        <v>34</v>
      </c>
      <c r="E23" s="101">
        <f>0.55*2.4*6</f>
        <v>7.92</v>
      </c>
      <c r="F23" s="104"/>
      <c r="G23" s="98"/>
      <c r="H23" s="98"/>
      <c r="I23" s="104"/>
      <c r="J23" s="198"/>
      <c r="K23" s="105"/>
      <c r="L23" s="104"/>
      <c r="M23" s="104"/>
      <c r="N23" s="104"/>
      <c r="O23" s="104"/>
      <c r="P23" s="105"/>
    </row>
    <row r="24" spans="1:16" s="102" customFormat="1" ht="16.5">
      <c r="A24" s="103"/>
      <c r="B24" s="236"/>
      <c r="C24" s="275" t="s">
        <v>265</v>
      </c>
      <c r="D24" s="100" t="s">
        <v>34</v>
      </c>
      <c r="E24" s="101">
        <f>1.7*1.7*46</f>
        <v>132.94</v>
      </c>
      <c r="F24" s="104"/>
      <c r="G24" s="98"/>
      <c r="H24" s="98"/>
      <c r="I24" s="104"/>
      <c r="J24" s="198"/>
      <c r="K24" s="105"/>
      <c r="L24" s="104"/>
      <c r="M24" s="104"/>
      <c r="N24" s="104"/>
      <c r="O24" s="104"/>
      <c r="P24" s="105"/>
    </row>
    <row r="25" spans="1:16" s="102" customFormat="1" ht="16.5">
      <c r="A25" s="103"/>
      <c r="B25" s="236"/>
      <c r="C25" s="275" t="s">
        <v>186</v>
      </c>
      <c r="D25" s="100" t="s">
        <v>34</v>
      </c>
      <c r="E25" s="101">
        <f>1.7*2.8*8</f>
        <v>38.08</v>
      </c>
      <c r="F25" s="104"/>
      <c r="G25" s="98"/>
      <c r="H25" s="98"/>
      <c r="I25" s="104"/>
      <c r="J25" s="198"/>
      <c r="K25" s="105"/>
      <c r="L25" s="104"/>
      <c r="M25" s="104"/>
      <c r="N25" s="104"/>
      <c r="O25" s="104"/>
      <c r="P25" s="105"/>
    </row>
    <row r="26" spans="1:16" s="102" customFormat="1" ht="16.5">
      <c r="A26" s="103"/>
      <c r="B26" s="236"/>
      <c r="C26" s="275" t="s">
        <v>236</v>
      </c>
      <c r="D26" s="100" t="s">
        <v>237</v>
      </c>
      <c r="E26" s="101">
        <f>1.7*3.42</f>
        <v>5.81</v>
      </c>
      <c r="F26" s="104"/>
      <c r="G26" s="98"/>
      <c r="H26" s="98"/>
      <c r="I26" s="104"/>
      <c r="J26" s="198"/>
      <c r="K26" s="105"/>
      <c r="L26" s="104"/>
      <c r="M26" s="104"/>
      <c r="N26" s="104"/>
      <c r="O26" s="104"/>
      <c r="P26" s="105"/>
    </row>
    <row r="27" spans="1:16" s="102" customFormat="1" ht="16.5">
      <c r="A27" s="103"/>
      <c r="B27" s="236"/>
      <c r="C27" s="275" t="s">
        <v>238</v>
      </c>
      <c r="D27" s="100" t="s">
        <v>237</v>
      </c>
      <c r="E27" s="101">
        <f>1.7*3.77</f>
        <v>6.41</v>
      </c>
      <c r="F27" s="104"/>
      <c r="G27" s="98"/>
      <c r="H27" s="98"/>
      <c r="I27" s="104"/>
      <c r="J27" s="198"/>
      <c r="K27" s="105"/>
      <c r="L27" s="104"/>
      <c r="M27" s="104"/>
      <c r="N27" s="104"/>
      <c r="O27" s="104"/>
      <c r="P27" s="105"/>
    </row>
    <row r="28" spans="1:16" s="102" customFormat="1" ht="16.5">
      <c r="A28" s="103"/>
      <c r="B28" s="103"/>
      <c r="C28" s="293"/>
      <c r="D28" s="103"/>
      <c r="E28" s="106"/>
      <c r="F28" s="104"/>
      <c r="G28" s="104"/>
      <c r="H28" s="104"/>
      <c r="I28" s="104"/>
      <c r="J28" s="198"/>
      <c r="K28" s="105"/>
      <c r="L28" s="104"/>
      <c r="M28" s="104"/>
      <c r="N28" s="104"/>
      <c r="O28" s="104"/>
      <c r="P28" s="105"/>
    </row>
    <row r="29" spans="1:16" s="44" customFormat="1" ht="33">
      <c r="A29" s="103">
        <f>A19+1</f>
        <v>3</v>
      </c>
      <c r="B29" s="39"/>
      <c r="C29" s="40" t="s">
        <v>45</v>
      </c>
      <c r="D29" s="41" t="s">
        <v>38</v>
      </c>
      <c r="E29" s="42">
        <v>108.8</v>
      </c>
      <c r="F29" s="42"/>
      <c r="G29" s="35"/>
      <c r="H29" s="43"/>
      <c r="I29" s="43"/>
      <c r="J29" s="43"/>
      <c r="K29" s="105"/>
      <c r="L29" s="104"/>
      <c r="M29" s="104"/>
      <c r="N29" s="104"/>
      <c r="O29" s="104"/>
      <c r="P29" s="105"/>
    </row>
    <row r="30" spans="1:16" s="44" customFormat="1" ht="16.5">
      <c r="A30" s="103"/>
      <c r="B30" s="39"/>
      <c r="C30" s="45" t="s">
        <v>46</v>
      </c>
      <c r="D30" s="41" t="s">
        <v>34</v>
      </c>
      <c r="E30" s="42">
        <f>ROUND(0.5*E29,2)</f>
        <v>54.4</v>
      </c>
      <c r="F30" s="42"/>
      <c r="G30" s="35"/>
      <c r="H30" s="43"/>
      <c r="I30" s="43"/>
      <c r="J30" s="43"/>
      <c r="K30" s="105"/>
      <c r="L30" s="104"/>
      <c r="M30" s="104"/>
      <c r="N30" s="104"/>
      <c r="O30" s="104"/>
      <c r="P30" s="105"/>
    </row>
    <row r="31" spans="1:16" s="44" customFormat="1" ht="16.5">
      <c r="A31" s="103"/>
      <c r="B31" s="39"/>
      <c r="C31" s="45" t="s">
        <v>41</v>
      </c>
      <c r="D31" s="41" t="s">
        <v>39</v>
      </c>
      <c r="E31" s="42">
        <f>ROUND(3*E29,2)</f>
        <v>326.4</v>
      </c>
      <c r="F31" s="42"/>
      <c r="G31" s="35"/>
      <c r="H31" s="43"/>
      <c r="I31" s="43"/>
      <c r="J31" s="43"/>
      <c r="K31" s="105"/>
      <c r="L31" s="104"/>
      <c r="M31" s="104"/>
      <c r="N31" s="104"/>
      <c r="O31" s="104"/>
      <c r="P31" s="105"/>
    </row>
    <row r="32" spans="1:16" s="102" customFormat="1" ht="16.5">
      <c r="A32" s="103">
        <f>A29+1</f>
        <v>4</v>
      </c>
      <c r="B32" s="103"/>
      <c r="C32" s="108" t="s">
        <v>239</v>
      </c>
      <c r="D32" s="103" t="s">
        <v>34</v>
      </c>
      <c r="E32" s="106">
        <v>191.84</v>
      </c>
      <c r="F32" s="104"/>
      <c r="G32" s="104"/>
      <c r="H32" s="98"/>
      <c r="I32" s="104"/>
      <c r="J32" s="198"/>
      <c r="K32" s="105"/>
      <c r="L32" s="104"/>
      <c r="M32" s="104"/>
      <c r="N32" s="104"/>
      <c r="O32" s="104"/>
      <c r="P32" s="105"/>
    </row>
    <row r="33" spans="1:16" s="102" customFormat="1" ht="16.5">
      <c r="A33" s="103">
        <f>A32+1</f>
        <v>5</v>
      </c>
      <c r="B33" s="103"/>
      <c r="C33" s="192" t="s">
        <v>140</v>
      </c>
      <c r="D33" s="103" t="s">
        <v>38</v>
      </c>
      <c r="E33" s="106">
        <v>108.8</v>
      </c>
      <c r="F33" s="104"/>
      <c r="G33" s="104"/>
      <c r="H33" s="98"/>
      <c r="I33" s="104"/>
      <c r="J33" s="198"/>
      <c r="K33" s="105"/>
      <c r="L33" s="104"/>
      <c r="M33" s="104"/>
      <c r="N33" s="104"/>
      <c r="O33" s="104"/>
      <c r="P33" s="105"/>
    </row>
    <row r="34" spans="1:16" s="99" customFormat="1" ht="16.5">
      <c r="A34" s="103"/>
      <c r="B34" s="331"/>
      <c r="C34" s="33" t="s">
        <v>240</v>
      </c>
      <c r="D34" s="331"/>
      <c r="E34" s="332"/>
      <c r="F34" s="332"/>
      <c r="G34" s="332"/>
      <c r="H34" s="98"/>
      <c r="I34" s="332"/>
      <c r="J34" s="332"/>
      <c r="K34" s="105"/>
      <c r="L34" s="104"/>
      <c r="M34" s="104"/>
      <c r="N34" s="104"/>
      <c r="O34" s="104"/>
      <c r="P34" s="105"/>
    </row>
    <row r="35" spans="1:16" s="102" customFormat="1" ht="16.5">
      <c r="A35" s="333">
        <f>A33+1</f>
        <v>6</v>
      </c>
      <c r="B35" s="334"/>
      <c r="C35" s="335" t="s">
        <v>241</v>
      </c>
      <c r="D35" s="334" t="s">
        <v>34</v>
      </c>
      <c r="E35" s="336">
        <f>5.1*2.35+2*2.3*2+1.4*2.4+1.79*2.1+1.485*2.24+1.05*2.1+37.2</f>
        <v>71.04</v>
      </c>
      <c r="F35" s="337"/>
      <c r="G35" s="337"/>
      <c r="H35" s="337"/>
      <c r="I35" s="337"/>
      <c r="J35" s="338"/>
      <c r="K35" s="105"/>
      <c r="L35" s="104"/>
      <c r="M35" s="104"/>
      <c r="N35" s="104"/>
      <c r="O35" s="104"/>
      <c r="P35" s="105"/>
    </row>
    <row r="36" spans="1:16" s="102" customFormat="1" ht="16.5">
      <c r="A36" s="103">
        <f>A35+1</f>
        <v>7</v>
      </c>
      <c r="B36" s="103"/>
      <c r="C36" s="108" t="s">
        <v>242</v>
      </c>
      <c r="D36" s="103" t="s">
        <v>34</v>
      </c>
      <c r="E36" s="106">
        <f>E35</f>
        <v>71.04</v>
      </c>
      <c r="F36" s="104"/>
      <c r="G36" s="104"/>
      <c r="H36" s="337"/>
      <c r="I36" s="107"/>
      <c r="J36" s="338"/>
      <c r="K36" s="105"/>
      <c r="L36" s="104"/>
      <c r="M36" s="104"/>
      <c r="N36" s="104"/>
      <c r="O36" s="104"/>
      <c r="P36" s="105"/>
    </row>
    <row r="37" spans="1:16" s="102" customFormat="1" ht="99">
      <c r="A37" s="103"/>
      <c r="B37" s="103"/>
      <c r="C37" s="108" t="s">
        <v>243</v>
      </c>
      <c r="D37" s="103" t="s">
        <v>100</v>
      </c>
      <c r="E37" s="106">
        <v>1</v>
      </c>
      <c r="F37" s="104"/>
      <c r="G37" s="104"/>
      <c r="H37" s="104"/>
      <c r="I37" s="107"/>
      <c r="J37" s="198"/>
      <c r="K37" s="105"/>
      <c r="L37" s="104"/>
      <c r="M37" s="104"/>
      <c r="N37" s="104"/>
      <c r="O37" s="104"/>
      <c r="P37" s="105"/>
    </row>
    <row r="38" spans="1:16" s="102" customFormat="1" ht="99">
      <c r="A38" s="103"/>
      <c r="B38" s="103"/>
      <c r="C38" s="108" t="s">
        <v>244</v>
      </c>
      <c r="D38" s="103" t="s">
        <v>100</v>
      </c>
      <c r="E38" s="106">
        <v>2</v>
      </c>
      <c r="F38" s="104"/>
      <c r="G38" s="104"/>
      <c r="H38" s="104"/>
      <c r="I38" s="107"/>
      <c r="J38" s="198"/>
      <c r="K38" s="105"/>
      <c r="L38" s="104"/>
      <c r="M38" s="104"/>
      <c r="N38" s="104"/>
      <c r="O38" s="104"/>
      <c r="P38" s="105"/>
    </row>
    <row r="39" spans="1:16" s="102" customFormat="1" ht="99">
      <c r="A39" s="103"/>
      <c r="B39" s="103"/>
      <c r="C39" s="108" t="s">
        <v>245</v>
      </c>
      <c r="D39" s="103" t="s">
        <v>100</v>
      </c>
      <c r="E39" s="106">
        <v>1</v>
      </c>
      <c r="F39" s="104"/>
      <c r="G39" s="104"/>
      <c r="H39" s="104"/>
      <c r="I39" s="107"/>
      <c r="J39" s="198"/>
      <c r="K39" s="105"/>
      <c r="L39" s="104"/>
      <c r="M39" s="104"/>
      <c r="N39" s="104"/>
      <c r="O39" s="104"/>
      <c r="P39" s="105"/>
    </row>
    <row r="40" spans="1:16" s="102" customFormat="1" ht="99">
      <c r="A40" s="103"/>
      <c r="B40" s="103"/>
      <c r="C40" s="108" t="s">
        <v>246</v>
      </c>
      <c r="D40" s="103" t="s">
        <v>100</v>
      </c>
      <c r="E40" s="106">
        <v>1</v>
      </c>
      <c r="F40" s="104"/>
      <c r="G40" s="104"/>
      <c r="H40" s="104"/>
      <c r="I40" s="107"/>
      <c r="J40" s="198"/>
      <c r="K40" s="105"/>
      <c r="L40" s="104"/>
      <c r="M40" s="104"/>
      <c r="N40" s="104"/>
      <c r="O40" s="104"/>
      <c r="P40" s="105"/>
    </row>
    <row r="41" spans="1:16" s="102" customFormat="1" ht="99">
      <c r="A41" s="103"/>
      <c r="B41" s="103"/>
      <c r="C41" s="108" t="s">
        <v>247</v>
      </c>
      <c r="D41" s="103" t="s">
        <v>100</v>
      </c>
      <c r="E41" s="106">
        <v>1</v>
      </c>
      <c r="F41" s="104"/>
      <c r="G41" s="104"/>
      <c r="H41" s="104"/>
      <c r="I41" s="107"/>
      <c r="J41" s="198"/>
      <c r="K41" s="105"/>
      <c r="L41" s="104"/>
      <c r="M41" s="104"/>
      <c r="N41" s="104"/>
      <c r="O41" s="104"/>
      <c r="P41" s="105"/>
    </row>
    <row r="42" spans="1:16" s="102" customFormat="1" ht="16.5">
      <c r="A42" s="103"/>
      <c r="B42" s="103"/>
      <c r="C42" s="108" t="s">
        <v>352</v>
      </c>
      <c r="D42" s="103" t="s">
        <v>100</v>
      </c>
      <c r="E42" s="106">
        <v>4</v>
      </c>
      <c r="F42" s="104"/>
      <c r="G42" s="104"/>
      <c r="H42" s="104"/>
      <c r="I42" s="107"/>
      <c r="J42" s="198"/>
      <c r="K42" s="105"/>
      <c r="L42" s="104"/>
      <c r="M42" s="104"/>
      <c r="N42" s="104"/>
      <c r="O42" s="104"/>
      <c r="P42" s="105"/>
    </row>
    <row r="43" spans="1:16" s="102" customFormat="1" ht="16.5">
      <c r="A43" s="103"/>
      <c r="B43" s="103"/>
      <c r="C43" s="108" t="s">
        <v>353</v>
      </c>
      <c r="D43" s="103" t="s">
        <v>100</v>
      </c>
      <c r="E43" s="106">
        <v>3</v>
      </c>
      <c r="F43" s="104"/>
      <c r="G43" s="104"/>
      <c r="H43" s="104"/>
      <c r="I43" s="107"/>
      <c r="J43" s="198"/>
      <c r="K43" s="105"/>
      <c r="L43" s="104"/>
      <c r="M43" s="104"/>
      <c r="N43" s="104"/>
      <c r="O43" s="104"/>
      <c r="P43" s="105"/>
    </row>
    <row r="44" spans="1:16" s="102" customFormat="1" ht="16.5">
      <c r="A44" s="103"/>
      <c r="B44" s="103"/>
      <c r="C44" s="339" t="s">
        <v>248</v>
      </c>
      <c r="D44" s="103" t="s">
        <v>39</v>
      </c>
      <c r="E44" s="106">
        <f>0.5*E36</f>
        <v>35.52</v>
      </c>
      <c r="F44" s="104"/>
      <c r="G44" s="104"/>
      <c r="H44" s="104"/>
      <c r="I44" s="104"/>
      <c r="J44" s="105"/>
      <c r="K44" s="105"/>
      <c r="L44" s="104"/>
      <c r="M44" s="104"/>
      <c r="N44" s="104"/>
      <c r="O44" s="104"/>
      <c r="P44" s="105"/>
    </row>
    <row r="45" spans="1:16" s="102" customFormat="1" ht="16.5">
      <c r="A45" s="103">
        <f>A36+1</f>
        <v>8</v>
      </c>
      <c r="B45" s="103"/>
      <c r="C45" s="192" t="s">
        <v>249</v>
      </c>
      <c r="D45" s="103" t="s">
        <v>34</v>
      </c>
      <c r="E45" s="106">
        <v>18</v>
      </c>
      <c r="F45" s="104"/>
      <c r="G45" s="104"/>
      <c r="H45" s="98"/>
      <c r="I45" s="104"/>
      <c r="J45" s="198"/>
      <c r="K45" s="105"/>
      <c r="L45" s="104"/>
      <c r="M45" s="104"/>
      <c r="N45" s="104"/>
      <c r="O45" s="104"/>
      <c r="P45" s="105"/>
    </row>
    <row r="46" spans="1:16" s="102" customFormat="1" ht="16.5">
      <c r="A46" s="103"/>
      <c r="B46" s="103"/>
      <c r="C46" s="259" t="s">
        <v>250</v>
      </c>
      <c r="D46" s="103"/>
      <c r="E46" s="106"/>
      <c r="F46" s="104"/>
      <c r="G46" s="49"/>
      <c r="H46" s="49"/>
      <c r="I46" s="104"/>
      <c r="J46" s="105"/>
      <c r="K46" s="105"/>
      <c r="L46" s="104"/>
      <c r="M46" s="104"/>
      <c r="N46" s="104"/>
      <c r="O46" s="104"/>
      <c r="P46" s="105"/>
    </row>
    <row r="47" spans="1:16" s="85" customFormat="1" ht="49.5">
      <c r="A47" s="103">
        <f>A45+1</f>
        <v>9</v>
      </c>
      <c r="B47" s="96"/>
      <c r="C47" s="47" t="s">
        <v>251</v>
      </c>
      <c r="D47" s="52" t="s">
        <v>47</v>
      </c>
      <c r="E47" s="48">
        <v>4</v>
      </c>
      <c r="F47" s="181"/>
      <c r="G47" s="49"/>
      <c r="H47" s="49"/>
      <c r="I47" s="49"/>
      <c r="J47" s="49"/>
      <c r="K47" s="50"/>
      <c r="L47" s="50"/>
      <c r="M47" s="50"/>
      <c r="N47" s="50"/>
      <c r="O47" s="50"/>
      <c r="P47" s="50"/>
    </row>
    <row r="48" spans="1:16" s="85" customFormat="1" ht="99">
      <c r="A48" s="51">
        <f>A47+1</f>
        <v>10</v>
      </c>
      <c r="B48" s="96"/>
      <c r="C48" s="47" t="s">
        <v>252</v>
      </c>
      <c r="D48" s="52" t="s">
        <v>47</v>
      </c>
      <c r="E48" s="48">
        <v>1</v>
      </c>
      <c r="F48" s="181"/>
      <c r="G48" s="49"/>
      <c r="H48" s="49"/>
      <c r="I48" s="49"/>
      <c r="J48" s="49"/>
      <c r="K48" s="50"/>
      <c r="L48" s="50"/>
      <c r="M48" s="50"/>
      <c r="N48" s="50"/>
      <c r="O48" s="50"/>
      <c r="P48" s="50"/>
    </row>
    <row r="49" spans="1:16" s="61" customFormat="1" ht="17.25" thickBot="1">
      <c r="A49" s="38"/>
      <c r="B49" s="89"/>
      <c r="C49" s="90"/>
      <c r="D49" s="90"/>
      <c r="E49" s="90"/>
      <c r="F49" s="91"/>
      <c r="G49" s="92"/>
      <c r="H49" s="92"/>
      <c r="I49" s="93"/>
      <c r="J49" s="93"/>
      <c r="K49" s="94"/>
      <c r="L49" s="94"/>
      <c r="M49" s="95"/>
      <c r="N49" s="95"/>
      <c r="O49" s="95"/>
      <c r="P49" s="95"/>
    </row>
    <row r="50" spans="1:18" s="69" customFormat="1" ht="16.5">
      <c r="A50" s="62"/>
      <c r="B50" s="63"/>
      <c r="C50" s="64" t="s">
        <v>53</v>
      </c>
      <c r="D50" s="63" t="s">
        <v>54</v>
      </c>
      <c r="E50" s="63"/>
      <c r="F50" s="63"/>
      <c r="G50" s="65"/>
      <c r="H50" s="66"/>
      <c r="I50" s="65"/>
      <c r="J50" s="65"/>
      <c r="K50" s="65"/>
      <c r="L50" s="67">
        <f>SUM(L18:L49)</f>
        <v>0</v>
      </c>
      <c r="M50" s="67">
        <f>SUM(M18:M49)</f>
        <v>0</v>
      </c>
      <c r="N50" s="67">
        <f>SUM(N18:N49)</f>
        <v>0</v>
      </c>
      <c r="O50" s="67">
        <f>SUM(O18:O49)</f>
        <v>0</v>
      </c>
      <c r="P50" s="68">
        <f>SUM(P17:P49)</f>
        <v>0</v>
      </c>
      <c r="R50" s="299"/>
    </row>
    <row r="51" spans="1:16" s="28" customFormat="1" ht="16.5">
      <c r="A51" s="524" t="s">
        <v>217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300"/>
      <c r="M51" s="300"/>
      <c r="N51" s="300">
        <f>ROUND(N50*0.03,2)</f>
        <v>0</v>
      </c>
      <c r="O51" s="300"/>
      <c r="P51" s="301">
        <f>SUM(M51:O51)</f>
        <v>0</v>
      </c>
    </row>
    <row r="52" spans="1:16" s="74" customFormat="1" ht="17.25" thickBot="1">
      <c r="A52" s="518" t="s">
        <v>56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72">
        <f>SUM(L50:L51)</f>
        <v>0</v>
      </c>
      <c r="M52" s="72">
        <f>SUM(M50:M51)</f>
        <v>0</v>
      </c>
      <c r="N52" s="72">
        <f>SUM(N50:N51)</f>
        <v>0</v>
      </c>
      <c r="O52" s="72">
        <f>SUM(O50:O51)</f>
        <v>0</v>
      </c>
      <c r="P52" s="73">
        <f>SUM(M52:O52)</f>
        <v>0</v>
      </c>
    </row>
    <row r="53" spans="1:15" s="78" customFormat="1" ht="16.5">
      <c r="A53" s="75"/>
      <c r="B53" s="75"/>
      <c r="C53" s="76"/>
      <c r="D53" s="77"/>
      <c r="E53" s="77"/>
      <c r="F53" s="77"/>
      <c r="G53" s="77"/>
      <c r="H53" s="77"/>
      <c r="I53" s="77"/>
      <c r="J53" s="77"/>
      <c r="K53" s="77"/>
      <c r="L53" s="76"/>
      <c r="M53" s="76"/>
      <c r="N53" s="76"/>
      <c r="O53" s="76"/>
    </row>
    <row r="55" spans="1:16" ht="16.5">
      <c r="A55" s="510" t="s">
        <v>82</v>
      </c>
      <c r="B55" s="510"/>
      <c r="C55" s="144"/>
      <c r="D55" s="145"/>
      <c r="E55" s="175"/>
      <c r="F55" s="175"/>
      <c r="G55" s="175"/>
      <c r="H55" s="175"/>
      <c r="I55" s="78"/>
      <c r="J55" s="78"/>
      <c r="K55" s="78"/>
      <c r="L55" s="78"/>
      <c r="M55" s="78"/>
      <c r="N55" s="78"/>
      <c r="O55" s="78"/>
      <c r="P55" s="78"/>
    </row>
    <row r="56" spans="1:16" ht="16.5">
      <c r="A56" s="146"/>
      <c r="B56" s="146"/>
      <c r="C56" s="147" t="s">
        <v>83</v>
      </c>
      <c r="D56" s="148"/>
      <c r="E56" s="150"/>
      <c r="F56" s="150"/>
      <c r="G56" s="150"/>
      <c r="H56" s="150"/>
      <c r="I56" s="219"/>
      <c r="J56" s="219"/>
      <c r="K56" s="219"/>
      <c r="L56" s="219"/>
      <c r="M56" s="219"/>
      <c r="N56" s="219"/>
      <c r="O56" s="219"/>
      <c r="P56" s="78"/>
    </row>
    <row r="57" spans="1:16" ht="16.5">
      <c r="A57" s="146"/>
      <c r="B57" s="146"/>
      <c r="C57" s="146"/>
      <c r="D57" s="146"/>
      <c r="E57" s="150"/>
      <c r="F57" s="150"/>
      <c r="G57" s="150"/>
      <c r="H57" s="150"/>
      <c r="I57" s="216"/>
      <c r="J57" s="216"/>
      <c r="K57" s="216"/>
      <c r="L57" s="216"/>
      <c r="M57" s="216"/>
      <c r="N57" s="216"/>
      <c r="O57" s="216"/>
      <c r="P57" s="216"/>
    </row>
    <row r="58" spans="1:16" ht="16.5">
      <c r="A58" s="490" t="s">
        <v>84</v>
      </c>
      <c r="B58" s="490"/>
      <c r="C58" s="144"/>
      <c r="D58" s="145"/>
      <c r="E58" s="150"/>
      <c r="F58" s="150"/>
      <c r="G58" s="150"/>
      <c r="H58" s="150"/>
      <c r="I58" s="217"/>
      <c r="J58" s="217"/>
      <c r="K58" s="217"/>
      <c r="L58" s="217"/>
      <c r="M58" s="217"/>
      <c r="N58" s="217"/>
      <c r="O58" s="217"/>
      <c r="P58" s="217"/>
    </row>
  </sheetData>
  <sheetProtection/>
  <mergeCells count="25">
    <mergeCell ref="A7:C7"/>
    <mergeCell ref="D7:P7"/>
    <mergeCell ref="A6:C6"/>
    <mergeCell ref="D6:P6"/>
    <mergeCell ref="A1:P1"/>
    <mergeCell ref="A2:P2"/>
    <mergeCell ref="A3:P3"/>
    <mergeCell ref="A5:C5"/>
    <mergeCell ref="D5:P5"/>
    <mergeCell ref="L14:P14"/>
    <mergeCell ref="A8:C8"/>
    <mergeCell ref="D8:P8"/>
    <mergeCell ref="A9:C9"/>
    <mergeCell ref="O10:P10"/>
    <mergeCell ref="A55:B55"/>
    <mergeCell ref="A51:K51"/>
    <mergeCell ref="A52:K52"/>
    <mergeCell ref="A11:P11"/>
    <mergeCell ref="A12:D12"/>
    <mergeCell ref="A14:A15"/>
    <mergeCell ref="B14:B15"/>
    <mergeCell ref="C14:C15"/>
    <mergeCell ref="D14:D15"/>
    <mergeCell ref="E14:E15"/>
    <mergeCell ref="F14:K1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3">
      <selection activeCell="M30" sqref="M30"/>
    </sheetView>
  </sheetViews>
  <sheetFormatPr defaultColWidth="7.7109375" defaultRowHeight="15"/>
  <cols>
    <col min="1" max="1" width="5.7109375" style="80" customWidth="1"/>
    <col min="2" max="2" width="5.28125" style="80" customWidth="1"/>
    <col min="3" max="3" width="41.421875" style="80" customWidth="1"/>
    <col min="4" max="4" width="7.7109375" style="80" customWidth="1"/>
    <col min="5" max="5" width="8.421875" style="81" customWidth="1"/>
    <col min="6" max="6" width="8.28125" style="80" customWidth="1"/>
    <col min="7" max="7" width="9.140625" style="82" customWidth="1"/>
    <col min="8" max="11" width="9.140625" style="80" customWidth="1"/>
    <col min="12" max="13" width="8.8515625" style="80" customWidth="1"/>
    <col min="14" max="14" width="10.00390625" style="80" customWidth="1"/>
    <col min="15" max="15" width="8.8515625" style="80" customWidth="1"/>
    <col min="16" max="16" width="11.140625" style="80" customWidth="1"/>
    <col min="17" max="20" width="9.140625" style="80" hidden="1" customWidth="1"/>
    <col min="21" max="216" width="9.140625" style="80" customWidth="1"/>
    <col min="217" max="237" width="7.140625" style="80" customWidth="1"/>
    <col min="238" max="238" width="5.7109375" style="80" customWidth="1"/>
    <col min="239" max="239" width="5.28125" style="80" customWidth="1"/>
    <col min="240" max="240" width="39.8515625" style="80" customWidth="1"/>
    <col min="241" max="16384" width="7.7109375" style="80" customWidth="1"/>
  </cols>
  <sheetData>
    <row r="1" spans="1:16" s="1" customFormat="1" ht="18">
      <c r="A1" s="527" t="s">
        <v>66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7.25" customHeight="1">
      <c r="A2" s="528" t="s">
        <v>196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0.5" customHeight="1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 customHeight="1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82" customFormat="1" ht="16.5" customHeight="1">
      <c r="A8" s="519" t="s">
        <v>14</v>
      </c>
      <c r="B8" s="519"/>
      <c r="C8" s="519"/>
      <c r="D8" s="520" t="s">
        <v>163</v>
      </c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6" customFormat="1" ht="16.5">
      <c r="A9" s="532"/>
      <c r="B9" s="532"/>
      <c r="C9" s="532"/>
      <c r="D9" s="13"/>
      <c r="E9" s="13"/>
      <c r="F9" s="14"/>
      <c r="G9" s="13"/>
      <c r="H9" s="13"/>
      <c r="I9" s="13"/>
      <c r="J9" s="13"/>
      <c r="K9" s="13"/>
      <c r="L9" s="14"/>
      <c r="M9" s="15"/>
      <c r="N9" s="15"/>
      <c r="O9" s="15"/>
      <c r="P9" s="15"/>
    </row>
    <row r="10" spans="1:16" s="16" customFormat="1" ht="16.5">
      <c r="A10" s="17" t="s">
        <v>164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P42</f>
        <v>13338.4</v>
      </c>
      <c r="P10" s="531"/>
    </row>
    <row r="11" spans="1:16" s="11" customFormat="1" ht="16.5">
      <c r="A11" s="525" t="s">
        <v>188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11" customFormat="1" ht="16.5" customHeight="1" hidden="1">
      <c r="A12" s="526"/>
      <c r="B12" s="526"/>
      <c r="C12" s="526"/>
      <c r="D12" s="526"/>
      <c r="E12" s="20"/>
      <c r="F12" s="21"/>
      <c r="G12" s="21"/>
      <c r="H12" s="21"/>
      <c r="I12" s="21">
        <v>3</v>
      </c>
      <c r="J12" s="21"/>
      <c r="K12" s="21"/>
      <c r="L12" s="21"/>
      <c r="M12" s="22"/>
      <c r="N12" s="22"/>
      <c r="O12" s="22"/>
      <c r="P12" s="23"/>
    </row>
    <row r="13" spans="1:16" s="28" customFormat="1" ht="16.5">
      <c r="A13" s="24"/>
      <c r="B13" s="24"/>
      <c r="C13" s="25"/>
      <c r="D13" s="25"/>
      <c r="E13" s="26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</row>
    <row r="14" spans="1:16" s="31" customFormat="1" ht="12.75" customHeight="1">
      <c r="A14" s="517" t="s">
        <v>16</v>
      </c>
      <c r="B14" s="517" t="s">
        <v>17</v>
      </c>
      <c r="C14" s="533" t="s">
        <v>18</v>
      </c>
      <c r="D14" s="517" t="s">
        <v>19</v>
      </c>
      <c r="E14" s="517" t="s">
        <v>20</v>
      </c>
      <c r="F14" s="517" t="s">
        <v>21</v>
      </c>
      <c r="G14" s="517"/>
      <c r="H14" s="517"/>
      <c r="I14" s="517"/>
      <c r="J14" s="517"/>
      <c r="K14" s="517"/>
      <c r="L14" s="517" t="s">
        <v>22</v>
      </c>
      <c r="M14" s="517"/>
      <c r="N14" s="517"/>
      <c r="O14" s="517"/>
      <c r="P14" s="517"/>
    </row>
    <row r="15" spans="1:16" s="31" customFormat="1" ht="51">
      <c r="A15" s="517"/>
      <c r="B15" s="517"/>
      <c r="C15" s="533"/>
      <c r="D15" s="517"/>
      <c r="E15" s="517"/>
      <c r="F15" s="29" t="s">
        <v>23</v>
      </c>
      <c r="G15" s="29" t="s">
        <v>24</v>
      </c>
      <c r="H15" s="29" t="s">
        <v>25</v>
      </c>
      <c r="I15" s="29" t="s">
        <v>26</v>
      </c>
      <c r="J15" s="29" t="s">
        <v>27</v>
      </c>
      <c r="K15" s="29" t="s">
        <v>28</v>
      </c>
      <c r="L15" s="29" t="s">
        <v>29</v>
      </c>
      <c r="M15" s="29" t="s">
        <v>30</v>
      </c>
      <c r="N15" s="29" t="s">
        <v>31</v>
      </c>
      <c r="O15" s="29" t="s">
        <v>32</v>
      </c>
      <c r="P15" s="29" t="s">
        <v>33</v>
      </c>
    </row>
    <row r="16" spans="1:16" s="31" customFormat="1" ht="12.75" customHeight="1">
      <c r="A16" s="30">
        <v>1</v>
      </c>
      <c r="B16" s="30"/>
      <c r="C16" s="32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0">
        <v>12</v>
      </c>
      <c r="N16" s="30">
        <v>13</v>
      </c>
      <c r="O16" s="30">
        <v>14</v>
      </c>
      <c r="P16" s="30">
        <v>15</v>
      </c>
    </row>
    <row r="17" spans="1:16" s="37" customFormat="1" ht="16.5">
      <c r="A17" s="38"/>
      <c r="B17" s="33"/>
      <c r="C17" s="33" t="s">
        <v>49</v>
      </c>
      <c r="D17" s="33"/>
      <c r="E17" s="194"/>
      <c r="F17" s="33"/>
      <c r="G17" s="35"/>
      <c r="H17" s="43">
        <f>ROUND(F17*G17,2)</f>
        <v>0</v>
      </c>
      <c r="I17" s="33">
        <v>0</v>
      </c>
      <c r="J17" s="33"/>
      <c r="K17" s="36">
        <f aca="true" t="shared" si="0" ref="K17:K33">SUM(H17:J17)</f>
        <v>0</v>
      </c>
      <c r="L17" s="36">
        <f aca="true" t="shared" si="1" ref="L17:L33">ROUND(E17*F17,2)</f>
        <v>0</v>
      </c>
      <c r="M17" s="36">
        <f aca="true" t="shared" si="2" ref="M17:M33">ROUND(E17*H17,2)</f>
        <v>0</v>
      </c>
      <c r="N17" s="36">
        <f aca="true" t="shared" si="3" ref="N17:N33">ROUND(E17*I17,2)</f>
        <v>0</v>
      </c>
      <c r="O17" s="36">
        <f aca="true" t="shared" si="4" ref="O17:O33">ROUND(E17*J17,2)</f>
        <v>0</v>
      </c>
      <c r="P17" s="36">
        <f aca="true" t="shared" si="5" ref="P17:P33">SUM(M17:O17)</f>
        <v>0</v>
      </c>
    </row>
    <row r="18" spans="1:16" s="44" customFormat="1" ht="33">
      <c r="A18" s="288">
        <v>1</v>
      </c>
      <c r="B18" s="289"/>
      <c r="C18" s="290" t="s">
        <v>64</v>
      </c>
      <c r="D18" s="291" t="s">
        <v>50</v>
      </c>
      <c r="E18" s="292">
        <f>E20*0.2</f>
        <v>26.02</v>
      </c>
      <c r="F18" s="42">
        <v>3</v>
      </c>
      <c r="G18" s="35">
        <f>$I$12</f>
        <v>3</v>
      </c>
      <c r="H18" s="43">
        <f>ROUND(F18*G18,2)</f>
        <v>9</v>
      </c>
      <c r="I18" s="43">
        <v>1.7</v>
      </c>
      <c r="J18" s="43">
        <v>3.5</v>
      </c>
      <c r="K18" s="36">
        <f t="shared" si="0"/>
        <v>14.2</v>
      </c>
      <c r="L18" s="36">
        <f t="shared" si="1"/>
        <v>78.06</v>
      </c>
      <c r="M18" s="36">
        <f t="shared" si="2"/>
        <v>234.18</v>
      </c>
      <c r="N18" s="36">
        <f t="shared" si="3"/>
        <v>44.23</v>
      </c>
      <c r="O18" s="36">
        <f t="shared" si="4"/>
        <v>91.07</v>
      </c>
      <c r="P18" s="36">
        <f t="shared" si="5"/>
        <v>369.48</v>
      </c>
    </row>
    <row r="19" spans="1:16" s="44" customFormat="1" ht="33">
      <c r="A19" s="288">
        <f>A18+1</f>
        <v>2</v>
      </c>
      <c r="B19" s="289"/>
      <c r="C19" s="290" t="s">
        <v>51</v>
      </c>
      <c r="D19" s="291" t="s">
        <v>50</v>
      </c>
      <c r="E19" s="292">
        <f>E20*0.1</f>
        <v>13.01</v>
      </c>
      <c r="F19" s="42">
        <v>3.4</v>
      </c>
      <c r="G19" s="35">
        <f>$I$12</f>
        <v>3</v>
      </c>
      <c r="H19" s="43">
        <f>ROUND(F19*G19,2)</f>
        <v>10.2</v>
      </c>
      <c r="I19" s="43">
        <v>14</v>
      </c>
      <c r="J19" s="43">
        <v>3.5</v>
      </c>
      <c r="K19" s="36">
        <f t="shared" si="0"/>
        <v>27.7</v>
      </c>
      <c r="L19" s="36">
        <f t="shared" si="1"/>
        <v>44.23</v>
      </c>
      <c r="M19" s="36">
        <f t="shared" si="2"/>
        <v>132.7</v>
      </c>
      <c r="N19" s="36">
        <f t="shared" si="3"/>
        <v>182.14</v>
      </c>
      <c r="O19" s="36">
        <f t="shared" si="4"/>
        <v>45.54</v>
      </c>
      <c r="P19" s="36">
        <f t="shared" si="5"/>
        <v>360.38</v>
      </c>
    </row>
    <row r="20" spans="1:16" s="44" customFormat="1" ht="33">
      <c r="A20" s="288">
        <f>A19+1</f>
        <v>3</v>
      </c>
      <c r="B20" s="289"/>
      <c r="C20" s="290" t="s">
        <v>147</v>
      </c>
      <c r="D20" s="291" t="s">
        <v>34</v>
      </c>
      <c r="E20" s="292">
        <v>130.1</v>
      </c>
      <c r="F20" s="42">
        <v>1.8</v>
      </c>
      <c r="G20" s="35">
        <f>$I$12</f>
        <v>3</v>
      </c>
      <c r="H20" s="43">
        <f>ROUND(F20*G20,2)</f>
        <v>5.4</v>
      </c>
      <c r="I20" s="43">
        <v>5.75</v>
      </c>
      <c r="J20" s="43">
        <v>0.5</v>
      </c>
      <c r="K20" s="36">
        <f t="shared" si="0"/>
        <v>11.65</v>
      </c>
      <c r="L20" s="36">
        <f t="shared" si="1"/>
        <v>234.18</v>
      </c>
      <c r="M20" s="36">
        <f t="shared" si="2"/>
        <v>702.54</v>
      </c>
      <c r="N20" s="36">
        <f t="shared" si="3"/>
        <v>748.08</v>
      </c>
      <c r="O20" s="36">
        <f t="shared" si="4"/>
        <v>65.05</v>
      </c>
      <c r="P20" s="36">
        <f t="shared" si="5"/>
        <v>1515.67</v>
      </c>
    </row>
    <row r="21" spans="1:16" s="232" customFormat="1" ht="49.5">
      <c r="A21" s="225"/>
      <c r="B21" s="226"/>
      <c r="C21" s="227" t="s">
        <v>160</v>
      </c>
      <c r="D21" s="228"/>
      <c r="E21" s="229"/>
      <c r="F21" s="229"/>
      <c r="G21" s="230"/>
      <c r="H21" s="231"/>
      <c r="I21" s="231"/>
      <c r="J21" s="231"/>
      <c r="K21" s="36">
        <f t="shared" si="0"/>
        <v>0</v>
      </c>
      <c r="L21" s="36">
        <f t="shared" si="1"/>
        <v>0</v>
      </c>
      <c r="M21" s="36">
        <f t="shared" si="2"/>
        <v>0</v>
      </c>
      <c r="N21" s="36">
        <f t="shared" si="3"/>
        <v>0</v>
      </c>
      <c r="O21" s="36">
        <f t="shared" si="4"/>
        <v>0</v>
      </c>
      <c r="P21" s="36">
        <f t="shared" si="5"/>
        <v>0</v>
      </c>
    </row>
    <row r="22" spans="1:16" s="44" customFormat="1" ht="16.5">
      <c r="A22" s="38">
        <f>A20+1</f>
        <v>4</v>
      </c>
      <c r="B22" s="46"/>
      <c r="C22" s="40" t="s">
        <v>162</v>
      </c>
      <c r="D22" s="41" t="s">
        <v>34</v>
      </c>
      <c r="E22" s="42">
        <v>105.3</v>
      </c>
      <c r="F22" s="42">
        <v>0.5</v>
      </c>
      <c r="G22" s="35">
        <f>$I$12</f>
        <v>3</v>
      </c>
      <c r="H22" s="43">
        <f aca="true" t="shared" si="6" ref="H22:H38">ROUND(F22*G22,2)</f>
        <v>1.5</v>
      </c>
      <c r="I22" s="43"/>
      <c r="J22" s="43">
        <v>3.8</v>
      </c>
      <c r="K22" s="36">
        <f t="shared" si="0"/>
        <v>5.3</v>
      </c>
      <c r="L22" s="36">
        <f t="shared" si="1"/>
        <v>52.65</v>
      </c>
      <c r="M22" s="36">
        <f t="shared" si="2"/>
        <v>157.95</v>
      </c>
      <c r="N22" s="36">
        <f t="shared" si="3"/>
        <v>0</v>
      </c>
      <c r="O22" s="36">
        <f t="shared" si="4"/>
        <v>400.14</v>
      </c>
      <c r="P22" s="36">
        <f t="shared" si="5"/>
        <v>558.09</v>
      </c>
    </row>
    <row r="23" spans="1:16" s="44" customFormat="1" ht="49.5">
      <c r="A23" s="51">
        <f>A22+1</f>
        <v>5</v>
      </c>
      <c r="B23" s="46"/>
      <c r="C23" s="40" t="s">
        <v>143</v>
      </c>
      <c r="D23" s="41" t="s">
        <v>50</v>
      </c>
      <c r="E23" s="42">
        <f>E22*1.2*0.8</f>
        <v>101.09</v>
      </c>
      <c r="F23" s="42">
        <v>2</v>
      </c>
      <c r="G23" s="35">
        <f>$I$12</f>
        <v>3</v>
      </c>
      <c r="H23" s="43">
        <f t="shared" si="6"/>
        <v>6</v>
      </c>
      <c r="I23" s="43">
        <v>0</v>
      </c>
      <c r="J23" s="43">
        <v>2.5</v>
      </c>
      <c r="K23" s="36">
        <f t="shared" si="0"/>
        <v>8.5</v>
      </c>
      <c r="L23" s="36">
        <f t="shared" si="1"/>
        <v>202.18</v>
      </c>
      <c r="M23" s="36">
        <f t="shared" si="2"/>
        <v>606.54</v>
      </c>
      <c r="N23" s="36">
        <f t="shared" si="3"/>
        <v>0</v>
      </c>
      <c r="O23" s="36">
        <f t="shared" si="4"/>
        <v>252.73</v>
      </c>
      <c r="P23" s="36">
        <f t="shared" si="5"/>
        <v>859.27</v>
      </c>
    </row>
    <row r="24" spans="1:16" s="44" customFormat="1" ht="33">
      <c r="A24" s="51">
        <f aca="true" t="shared" si="7" ref="A24:A29">A23+1</f>
        <v>6</v>
      </c>
      <c r="B24" s="46"/>
      <c r="C24" s="40" t="s">
        <v>161</v>
      </c>
      <c r="D24" s="41" t="s">
        <v>34</v>
      </c>
      <c r="E24" s="42">
        <f>E22*1.2</f>
        <v>126.36</v>
      </c>
      <c r="F24" s="43">
        <v>0.25</v>
      </c>
      <c r="G24" s="35">
        <f>$I$12</f>
        <v>3</v>
      </c>
      <c r="H24" s="43">
        <f t="shared" si="6"/>
        <v>0.75</v>
      </c>
      <c r="I24" s="35">
        <v>0.4</v>
      </c>
      <c r="J24" s="35">
        <v>0.1</v>
      </c>
      <c r="K24" s="36">
        <f t="shared" si="0"/>
        <v>1.25</v>
      </c>
      <c r="L24" s="36">
        <f t="shared" si="1"/>
        <v>31.59</v>
      </c>
      <c r="M24" s="36">
        <f t="shared" si="2"/>
        <v>94.77</v>
      </c>
      <c r="N24" s="36">
        <f t="shared" si="3"/>
        <v>50.54</v>
      </c>
      <c r="O24" s="36">
        <f t="shared" si="4"/>
        <v>12.64</v>
      </c>
      <c r="P24" s="36">
        <f t="shared" si="5"/>
        <v>157.95</v>
      </c>
    </row>
    <row r="25" spans="1:16" s="44" customFormat="1" ht="18.75" customHeight="1">
      <c r="A25" s="51">
        <f t="shared" si="7"/>
        <v>7</v>
      </c>
      <c r="B25" s="46"/>
      <c r="C25" s="40" t="s">
        <v>63</v>
      </c>
      <c r="D25" s="41" t="s">
        <v>34</v>
      </c>
      <c r="E25" s="42">
        <f>E24</f>
        <v>126.36</v>
      </c>
      <c r="F25" s="42">
        <v>0.35</v>
      </c>
      <c r="G25" s="35">
        <f>$I$12</f>
        <v>3</v>
      </c>
      <c r="H25" s="43">
        <f t="shared" si="6"/>
        <v>1.05</v>
      </c>
      <c r="I25" s="43">
        <v>5.41</v>
      </c>
      <c r="J25" s="43">
        <v>0.05</v>
      </c>
      <c r="K25" s="36">
        <f t="shared" si="0"/>
        <v>6.51</v>
      </c>
      <c r="L25" s="36">
        <f t="shared" si="1"/>
        <v>44.23</v>
      </c>
      <c r="M25" s="36">
        <f t="shared" si="2"/>
        <v>132.68</v>
      </c>
      <c r="N25" s="36">
        <f t="shared" si="3"/>
        <v>683.61</v>
      </c>
      <c r="O25" s="36">
        <f t="shared" si="4"/>
        <v>6.32</v>
      </c>
      <c r="P25" s="36">
        <f t="shared" si="5"/>
        <v>822.61</v>
      </c>
    </row>
    <row r="26" spans="1:16" s="44" customFormat="1" ht="33">
      <c r="A26" s="51">
        <f t="shared" si="7"/>
        <v>8</v>
      </c>
      <c r="B26" s="39"/>
      <c r="C26" s="40" t="s">
        <v>152</v>
      </c>
      <c r="D26" s="41" t="s">
        <v>50</v>
      </c>
      <c r="E26" s="42">
        <f>E22</f>
        <v>105.3</v>
      </c>
      <c r="F26" s="42">
        <v>2.5</v>
      </c>
      <c r="G26" s="35">
        <f>$I$12</f>
        <v>3</v>
      </c>
      <c r="H26" s="43">
        <f t="shared" si="6"/>
        <v>7.5</v>
      </c>
      <c r="I26" s="43"/>
      <c r="J26" s="43">
        <v>2.5</v>
      </c>
      <c r="K26" s="36">
        <f t="shared" si="0"/>
        <v>10</v>
      </c>
      <c r="L26" s="36">
        <f t="shared" si="1"/>
        <v>263.25</v>
      </c>
      <c r="M26" s="36">
        <f t="shared" si="2"/>
        <v>789.75</v>
      </c>
      <c r="N26" s="36">
        <f t="shared" si="3"/>
        <v>0</v>
      </c>
      <c r="O26" s="36">
        <f t="shared" si="4"/>
        <v>263.25</v>
      </c>
      <c r="P26" s="36">
        <f t="shared" si="5"/>
        <v>1053</v>
      </c>
    </row>
    <row r="27" spans="1:16" s="44" customFormat="1" ht="16.5">
      <c r="A27" s="51"/>
      <c r="B27" s="39"/>
      <c r="C27" s="45" t="s">
        <v>153</v>
      </c>
      <c r="D27" s="41" t="s">
        <v>50</v>
      </c>
      <c r="E27" s="42">
        <f>E26*1.05</f>
        <v>110.57</v>
      </c>
      <c r="F27" s="42"/>
      <c r="G27" s="35"/>
      <c r="H27" s="43">
        <f t="shared" si="6"/>
        <v>0</v>
      </c>
      <c r="I27" s="43">
        <v>14</v>
      </c>
      <c r="J27" s="43"/>
      <c r="K27" s="36">
        <f t="shared" si="0"/>
        <v>14</v>
      </c>
      <c r="L27" s="36">
        <f t="shared" si="1"/>
        <v>0</v>
      </c>
      <c r="M27" s="36">
        <f t="shared" si="2"/>
        <v>0</v>
      </c>
      <c r="N27" s="36">
        <f t="shared" si="3"/>
        <v>1547.98</v>
      </c>
      <c r="O27" s="36">
        <f t="shared" si="4"/>
        <v>0</v>
      </c>
      <c r="P27" s="36">
        <f t="shared" si="5"/>
        <v>1547.98</v>
      </c>
    </row>
    <row r="28" spans="1:16" s="44" customFormat="1" ht="33">
      <c r="A28" s="51">
        <f>A26+1</f>
        <v>9</v>
      </c>
      <c r="B28" s="46"/>
      <c r="C28" s="40" t="s">
        <v>51</v>
      </c>
      <c r="D28" s="41" t="s">
        <v>50</v>
      </c>
      <c r="E28" s="42">
        <f>ROUND(E29*0.1,2)</f>
        <v>7.37</v>
      </c>
      <c r="F28" s="42">
        <v>3.4</v>
      </c>
      <c r="G28" s="35">
        <f>$I$12</f>
        <v>3</v>
      </c>
      <c r="H28" s="43">
        <f t="shared" si="6"/>
        <v>10.2</v>
      </c>
      <c r="I28" s="43">
        <v>14</v>
      </c>
      <c r="J28" s="43">
        <v>3.5</v>
      </c>
      <c r="K28" s="36">
        <f t="shared" si="0"/>
        <v>27.7</v>
      </c>
      <c r="L28" s="36">
        <f t="shared" si="1"/>
        <v>25.06</v>
      </c>
      <c r="M28" s="36">
        <f t="shared" si="2"/>
        <v>75.17</v>
      </c>
      <c r="N28" s="36">
        <f t="shared" si="3"/>
        <v>103.18</v>
      </c>
      <c r="O28" s="36">
        <f t="shared" si="4"/>
        <v>25.8</v>
      </c>
      <c r="P28" s="36">
        <f t="shared" si="5"/>
        <v>204.15</v>
      </c>
    </row>
    <row r="29" spans="1:16" s="44" customFormat="1" ht="33">
      <c r="A29" s="51">
        <f t="shared" si="7"/>
        <v>10</v>
      </c>
      <c r="B29" s="46"/>
      <c r="C29" s="40" t="s">
        <v>147</v>
      </c>
      <c r="D29" s="41" t="s">
        <v>34</v>
      </c>
      <c r="E29" s="42">
        <f>E22*0.7</f>
        <v>73.71</v>
      </c>
      <c r="F29" s="42">
        <v>1.8</v>
      </c>
      <c r="G29" s="35">
        <f>$I$12</f>
        <v>3</v>
      </c>
      <c r="H29" s="43">
        <f t="shared" si="6"/>
        <v>5.4</v>
      </c>
      <c r="I29" s="43">
        <v>5.75</v>
      </c>
      <c r="J29" s="43">
        <v>0.5</v>
      </c>
      <c r="K29" s="36">
        <f t="shared" si="0"/>
        <v>11.65</v>
      </c>
      <c r="L29" s="36">
        <f t="shared" si="1"/>
        <v>132.68</v>
      </c>
      <c r="M29" s="36">
        <f t="shared" si="2"/>
        <v>398.03</v>
      </c>
      <c r="N29" s="36">
        <f t="shared" si="3"/>
        <v>423.83</v>
      </c>
      <c r="O29" s="36">
        <f t="shared" si="4"/>
        <v>36.86</v>
      </c>
      <c r="P29" s="36">
        <f t="shared" si="5"/>
        <v>858.72</v>
      </c>
    </row>
    <row r="30" spans="1:16" s="180" customFormat="1" ht="16.5">
      <c r="A30" s="38"/>
      <c r="B30" s="86"/>
      <c r="C30" s="114" t="s">
        <v>144</v>
      </c>
      <c r="D30" s="83"/>
      <c r="E30" s="35"/>
      <c r="F30" s="179"/>
      <c r="G30" s="35"/>
      <c r="H30" s="43">
        <f t="shared" si="6"/>
        <v>0</v>
      </c>
      <c r="I30" s="35"/>
      <c r="J30" s="36"/>
      <c r="K30" s="36">
        <f t="shared" si="0"/>
        <v>0</v>
      </c>
      <c r="L30" s="36">
        <f t="shared" si="1"/>
        <v>0</v>
      </c>
      <c r="M30" s="36">
        <f t="shared" si="2"/>
        <v>0</v>
      </c>
      <c r="N30" s="36">
        <f t="shared" si="3"/>
        <v>0</v>
      </c>
      <c r="O30" s="36">
        <f t="shared" si="4"/>
        <v>0</v>
      </c>
      <c r="P30" s="36">
        <f t="shared" si="5"/>
        <v>0</v>
      </c>
    </row>
    <row r="31" spans="1:16" s="180" customFormat="1" ht="33">
      <c r="A31" s="38">
        <f>A20+1</f>
        <v>4</v>
      </c>
      <c r="B31" s="86"/>
      <c r="C31" s="178" t="s">
        <v>145</v>
      </c>
      <c r="D31" s="83" t="s">
        <v>34</v>
      </c>
      <c r="E31" s="35">
        <v>32</v>
      </c>
      <c r="F31" s="179">
        <v>3.5</v>
      </c>
      <c r="G31" s="35">
        <f>$I$12</f>
        <v>3</v>
      </c>
      <c r="H31" s="43">
        <f t="shared" si="6"/>
        <v>10.5</v>
      </c>
      <c r="I31" s="35">
        <v>8.5</v>
      </c>
      <c r="J31" s="35">
        <v>0.5</v>
      </c>
      <c r="K31" s="36">
        <f t="shared" si="0"/>
        <v>19.5</v>
      </c>
      <c r="L31" s="36">
        <f t="shared" si="1"/>
        <v>112</v>
      </c>
      <c r="M31" s="36">
        <f t="shared" si="2"/>
        <v>336</v>
      </c>
      <c r="N31" s="36">
        <f t="shared" si="3"/>
        <v>272</v>
      </c>
      <c r="O31" s="36">
        <f t="shared" si="4"/>
        <v>16</v>
      </c>
      <c r="P31" s="36">
        <f t="shared" si="5"/>
        <v>624</v>
      </c>
    </row>
    <row r="32" spans="1:16" s="180" customFormat="1" ht="16.5">
      <c r="A32" s="38"/>
      <c r="B32" s="86"/>
      <c r="C32" s="114" t="s">
        <v>157</v>
      </c>
      <c r="D32" s="83"/>
      <c r="E32" s="35"/>
      <c r="F32" s="179"/>
      <c r="G32" s="35"/>
      <c r="H32" s="43">
        <f t="shared" si="6"/>
        <v>0</v>
      </c>
      <c r="I32" s="35"/>
      <c r="J32" s="36"/>
      <c r="K32" s="36">
        <f t="shared" si="0"/>
        <v>0</v>
      </c>
      <c r="L32" s="36">
        <f t="shared" si="1"/>
        <v>0</v>
      </c>
      <c r="M32" s="36">
        <f t="shared" si="2"/>
        <v>0</v>
      </c>
      <c r="N32" s="36">
        <f t="shared" si="3"/>
        <v>0</v>
      </c>
      <c r="O32" s="36">
        <f t="shared" si="4"/>
        <v>0</v>
      </c>
      <c r="P32" s="36">
        <f t="shared" si="5"/>
        <v>0</v>
      </c>
    </row>
    <row r="33" spans="1:16" s="180" customFormat="1" ht="16.5">
      <c r="A33" s="38">
        <f>A31+1</f>
        <v>5</v>
      </c>
      <c r="B33" s="86"/>
      <c r="C33" s="178" t="s">
        <v>158</v>
      </c>
      <c r="D33" s="83" t="s">
        <v>47</v>
      </c>
      <c r="E33" s="35">
        <v>2</v>
      </c>
      <c r="F33" s="179">
        <v>80</v>
      </c>
      <c r="G33" s="35">
        <f>$I$12</f>
        <v>3</v>
      </c>
      <c r="H33" s="43">
        <f t="shared" si="6"/>
        <v>240</v>
      </c>
      <c r="I33" s="35">
        <v>350</v>
      </c>
      <c r="J33" s="35">
        <v>35</v>
      </c>
      <c r="K33" s="36">
        <f t="shared" si="0"/>
        <v>625</v>
      </c>
      <c r="L33" s="36">
        <f t="shared" si="1"/>
        <v>160</v>
      </c>
      <c r="M33" s="36">
        <f t="shared" si="2"/>
        <v>480</v>
      </c>
      <c r="N33" s="36">
        <f t="shared" si="3"/>
        <v>700</v>
      </c>
      <c r="O33" s="36">
        <f t="shared" si="4"/>
        <v>70</v>
      </c>
      <c r="P33" s="36">
        <f t="shared" si="5"/>
        <v>1250</v>
      </c>
    </row>
    <row r="34" spans="1:16" s="180" customFormat="1" ht="33">
      <c r="A34" s="38">
        <f>A33+1</f>
        <v>6</v>
      </c>
      <c r="B34" s="86"/>
      <c r="C34" s="178" t="s">
        <v>174</v>
      </c>
      <c r="D34" s="83" t="s">
        <v>47</v>
      </c>
      <c r="E34" s="35">
        <v>1</v>
      </c>
      <c r="F34" s="179">
        <v>55</v>
      </c>
      <c r="G34" s="35">
        <f>$I$12</f>
        <v>3</v>
      </c>
      <c r="H34" s="43">
        <f t="shared" si="6"/>
        <v>165</v>
      </c>
      <c r="I34" s="35">
        <v>210</v>
      </c>
      <c r="J34" s="35">
        <v>90</v>
      </c>
      <c r="K34" s="36">
        <f>SUM(H34:J34)</f>
        <v>465</v>
      </c>
      <c r="L34" s="36">
        <f>ROUND(E34*F34,2)</f>
        <v>55</v>
      </c>
      <c r="M34" s="36">
        <f>ROUND(E34*H34,2)</f>
        <v>165</v>
      </c>
      <c r="N34" s="36">
        <f>ROUND(E34*I34,2)</f>
        <v>210</v>
      </c>
      <c r="O34" s="36">
        <f>ROUND(E34*J34,2)</f>
        <v>90</v>
      </c>
      <c r="P34" s="36">
        <f>SUM(M34:O34)</f>
        <v>465</v>
      </c>
    </row>
    <row r="35" spans="1:16" s="180" customFormat="1" ht="16.5">
      <c r="A35" s="38">
        <f>A34+1</f>
        <v>7</v>
      </c>
      <c r="B35" s="86"/>
      <c r="C35" s="178" t="s">
        <v>166</v>
      </c>
      <c r="D35" s="83" t="s">
        <v>47</v>
      </c>
      <c r="E35" s="35">
        <v>14</v>
      </c>
      <c r="F35" s="179">
        <v>22</v>
      </c>
      <c r="G35" s="35">
        <f>$I$12</f>
        <v>3</v>
      </c>
      <c r="H35" s="43">
        <f t="shared" si="6"/>
        <v>66</v>
      </c>
      <c r="I35" s="35">
        <v>75</v>
      </c>
      <c r="J35" s="35">
        <v>5</v>
      </c>
      <c r="K35" s="36">
        <f>SUM(H35:J35)</f>
        <v>146</v>
      </c>
      <c r="L35" s="36">
        <f>ROUND(E35*F35,2)</f>
        <v>308</v>
      </c>
      <c r="M35" s="36">
        <f>ROUND(E35*H35,2)</f>
        <v>924</v>
      </c>
      <c r="N35" s="36">
        <f>ROUND(E35*I35,2)</f>
        <v>1050</v>
      </c>
      <c r="O35" s="36">
        <f>ROUND(E35*J35,2)</f>
        <v>70</v>
      </c>
      <c r="P35" s="36">
        <f>SUM(M35:O35)</f>
        <v>2044</v>
      </c>
    </row>
    <row r="36" spans="1:16" s="115" customFormat="1" ht="16.5">
      <c r="A36" s="38"/>
      <c r="B36" s="114"/>
      <c r="C36" s="114" t="s">
        <v>149</v>
      </c>
      <c r="D36" s="114"/>
      <c r="E36" s="254"/>
      <c r="F36" s="114"/>
      <c r="G36" s="35"/>
      <c r="H36" s="43">
        <f t="shared" si="6"/>
        <v>0</v>
      </c>
      <c r="I36" s="114">
        <v>0</v>
      </c>
      <c r="J36" s="114"/>
      <c r="K36" s="36">
        <f>SUM(H36:J36)</f>
        <v>0</v>
      </c>
      <c r="L36" s="36">
        <f>ROUND(E36*F36,2)</f>
        <v>0</v>
      </c>
      <c r="M36" s="36">
        <f>ROUND(E36*H36,2)</f>
        <v>0</v>
      </c>
      <c r="N36" s="36">
        <f>ROUND(E36*I36,2)</f>
        <v>0</v>
      </c>
      <c r="O36" s="36">
        <f>ROUND(E36*J36,2)</f>
        <v>0</v>
      </c>
      <c r="P36" s="36">
        <f>SUM(M36:O36)</f>
        <v>0</v>
      </c>
    </row>
    <row r="37" spans="1:16" s="180" customFormat="1" ht="16.5">
      <c r="A37" s="38">
        <f>A35+1</f>
        <v>8</v>
      </c>
      <c r="B37" s="86"/>
      <c r="C37" s="178" t="s">
        <v>150</v>
      </c>
      <c r="D37" s="83" t="s">
        <v>47</v>
      </c>
      <c r="E37" s="35">
        <v>1</v>
      </c>
      <c r="F37" s="179">
        <v>50</v>
      </c>
      <c r="G37" s="35">
        <f>$I$12</f>
        <v>3</v>
      </c>
      <c r="H37" s="43">
        <f t="shared" si="6"/>
        <v>150</v>
      </c>
      <c r="I37" s="35">
        <v>8.5</v>
      </c>
      <c r="J37" s="35">
        <v>3.5</v>
      </c>
      <c r="K37" s="36">
        <f>SUM(H37:J37)</f>
        <v>162</v>
      </c>
      <c r="L37" s="36">
        <f>ROUND(E37*F37,2)</f>
        <v>50</v>
      </c>
      <c r="M37" s="36">
        <f>ROUND(E37*H37,2)</f>
        <v>150</v>
      </c>
      <c r="N37" s="36">
        <f>ROUND(E37*I37,2)</f>
        <v>8.5</v>
      </c>
      <c r="O37" s="36">
        <f>ROUND(E37*J37,2)</f>
        <v>3.5</v>
      </c>
      <c r="P37" s="36">
        <f>SUM(M37:O37)</f>
        <v>162</v>
      </c>
    </row>
    <row r="38" spans="1:16" s="180" customFormat="1" ht="16.5">
      <c r="A38" s="38">
        <f>A37+1</f>
        <v>9</v>
      </c>
      <c r="B38" s="86"/>
      <c r="C38" s="178" t="s">
        <v>159</v>
      </c>
      <c r="D38" s="83" t="s">
        <v>47</v>
      </c>
      <c r="E38" s="35">
        <v>2</v>
      </c>
      <c r="F38" s="179">
        <v>1</v>
      </c>
      <c r="G38" s="35">
        <f>$I$12</f>
        <v>3</v>
      </c>
      <c r="H38" s="43">
        <f t="shared" si="6"/>
        <v>3</v>
      </c>
      <c r="I38" s="35">
        <v>85</v>
      </c>
      <c r="J38" s="35">
        <v>0.2</v>
      </c>
      <c r="K38" s="36">
        <f>SUM(H38:J38)</f>
        <v>88.2</v>
      </c>
      <c r="L38" s="36">
        <f>ROUND(E38*F38,2)</f>
        <v>2</v>
      </c>
      <c r="M38" s="36">
        <f>ROUND(E38*H38,2)</f>
        <v>6</v>
      </c>
      <c r="N38" s="36">
        <f>ROUND(E38*I38,2)</f>
        <v>170</v>
      </c>
      <c r="O38" s="36">
        <f>ROUND(E38*J38,2)</f>
        <v>0.4</v>
      </c>
      <c r="P38" s="36">
        <f>SUM(M38:O38)</f>
        <v>176.4</v>
      </c>
    </row>
    <row r="39" spans="1:16" s="61" customFormat="1" ht="17.25" thickBot="1">
      <c r="A39" s="38"/>
      <c r="B39" s="54"/>
      <c r="C39" s="55"/>
      <c r="D39" s="55"/>
      <c r="E39" s="55"/>
      <c r="F39" s="56"/>
      <c r="G39" s="57"/>
      <c r="H39" s="57"/>
      <c r="I39" s="58"/>
      <c r="J39" s="58"/>
      <c r="K39" s="59"/>
      <c r="L39" s="59"/>
      <c r="M39" s="60"/>
      <c r="N39" s="60"/>
      <c r="O39" s="60"/>
      <c r="P39" s="60"/>
    </row>
    <row r="40" spans="1:16" s="69" customFormat="1" ht="16.5">
      <c r="A40" s="62"/>
      <c r="B40" s="63"/>
      <c r="C40" s="64" t="s">
        <v>53</v>
      </c>
      <c r="D40" s="63" t="s">
        <v>54</v>
      </c>
      <c r="E40" s="63"/>
      <c r="F40" s="63"/>
      <c r="G40" s="65"/>
      <c r="H40" s="66"/>
      <c r="I40" s="65"/>
      <c r="J40" s="65"/>
      <c r="K40" s="65"/>
      <c r="L40" s="67">
        <f>SUM(L17:L39)</f>
        <v>1795.11</v>
      </c>
      <c r="M40" s="67">
        <f>SUM(M17:M39)</f>
        <v>5385.31</v>
      </c>
      <c r="N40" s="67">
        <f>SUM(N17:N39)</f>
        <v>6194.09</v>
      </c>
      <c r="O40" s="67">
        <f>SUM(O17:O39)</f>
        <v>1449.3</v>
      </c>
      <c r="P40" s="68">
        <f>SUM(M40:O40)</f>
        <v>13028.7</v>
      </c>
    </row>
    <row r="41" spans="1:16" s="28" customFormat="1" ht="16.5">
      <c r="A41" s="524" t="s">
        <v>55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70"/>
      <c r="M41" s="70"/>
      <c r="N41" s="70">
        <f>ROUND(N40*0.05,2)</f>
        <v>309.7</v>
      </c>
      <c r="O41" s="70"/>
      <c r="P41" s="71">
        <f>SUM(M41:O41)</f>
        <v>309.7</v>
      </c>
    </row>
    <row r="42" spans="1:16" s="74" customFormat="1" ht="17.25" thickBot="1">
      <c r="A42" s="518" t="s">
        <v>56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72">
        <f>SUM(L40:L41)</f>
        <v>1795.11</v>
      </c>
      <c r="M42" s="72">
        <f>SUM(M40:M41)</f>
        <v>5385.31</v>
      </c>
      <c r="N42" s="72">
        <f>SUM(N40:N41)</f>
        <v>6503.79</v>
      </c>
      <c r="O42" s="72">
        <f>SUM(O40:O41)</f>
        <v>1449.3</v>
      </c>
      <c r="P42" s="73">
        <f>SUM(M42:O42)</f>
        <v>13338.4</v>
      </c>
    </row>
    <row r="43" spans="1:15" s="78" customFormat="1" ht="16.5">
      <c r="A43" s="75"/>
      <c r="B43" s="75"/>
      <c r="C43" s="76"/>
      <c r="D43" s="77"/>
      <c r="E43" s="77"/>
      <c r="F43" s="77"/>
      <c r="G43" s="77"/>
      <c r="H43" s="77"/>
      <c r="I43" s="77"/>
      <c r="J43" s="77"/>
      <c r="K43" s="77"/>
      <c r="L43" s="76"/>
      <c r="M43" s="76"/>
      <c r="N43" s="76"/>
      <c r="O43" s="76"/>
    </row>
    <row r="44" spans="1:15" s="78" customFormat="1" ht="16.5">
      <c r="A44" s="75"/>
      <c r="B44" s="75"/>
      <c r="C44" s="76"/>
      <c r="D44" s="77"/>
      <c r="E44" s="77"/>
      <c r="F44" s="77"/>
      <c r="G44" s="77"/>
      <c r="H44" s="77"/>
      <c r="I44" s="77"/>
      <c r="J44" s="77"/>
      <c r="K44" s="77"/>
      <c r="L44" s="76"/>
      <c r="M44" s="76"/>
      <c r="N44" s="76"/>
      <c r="O44" s="76"/>
    </row>
    <row r="45" spans="1:15" s="78" customFormat="1" ht="16.5">
      <c r="A45" s="539" t="s">
        <v>57</v>
      </c>
      <c r="B45" s="539"/>
      <c r="C45" s="539"/>
      <c r="D45" s="539"/>
      <c r="E45" s="539"/>
      <c r="F45" s="539"/>
      <c r="G45" s="539"/>
      <c r="H45" s="76"/>
      <c r="I45" s="540" t="s">
        <v>58</v>
      </c>
      <c r="J45" s="540"/>
      <c r="K45" s="540"/>
      <c r="L45" s="540"/>
      <c r="M45" s="540"/>
      <c r="N45" s="540"/>
      <c r="O45" s="540"/>
    </row>
    <row r="46" spans="1:15" s="78" customFormat="1" ht="16.5">
      <c r="A46" s="521" t="s">
        <v>59</v>
      </c>
      <c r="B46" s="521"/>
      <c r="C46" s="521"/>
      <c r="D46" s="79"/>
      <c r="E46" s="79"/>
      <c r="F46" s="79"/>
      <c r="G46" s="79"/>
      <c r="H46" s="76"/>
      <c r="I46" s="522" t="s">
        <v>60</v>
      </c>
      <c r="J46" s="522"/>
      <c r="K46" s="522"/>
      <c r="L46" s="522"/>
      <c r="M46" s="522"/>
      <c r="N46" s="522"/>
      <c r="O46" s="522"/>
    </row>
  </sheetData>
  <sheetProtection/>
  <mergeCells count="28">
    <mergeCell ref="A45:G45"/>
    <mergeCell ref="I45:O45"/>
    <mergeCell ref="B14:B15"/>
    <mergeCell ref="C14:C15"/>
    <mergeCell ref="D14:D15"/>
    <mergeCell ref="A14:A15"/>
    <mergeCell ref="A12:D12"/>
    <mergeCell ref="A42:K42"/>
    <mergeCell ref="A8:C8"/>
    <mergeCell ref="D8:P8"/>
    <mergeCell ref="A6:C6"/>
    <mergeCell ref="D6:P6"/>
    <mergeCell ref="A46:C46"/>
    <mergeCell ref="I46:O46"/>
    <mergeCell ref="E14:E15"/>
    <mergeCell ref="F14:K14"/>
    <mergeCell ref="L14:P14"/>
    <mergeCell ref="A41:K41"/>
    <mergeCell ref="A9:C9"/>
    <mergeCell ref="O10:P10"/>
    <mergeCell ref="A11:P11"/>
    <mergeCell ref="A1:P1"/>
    <mergeCell ref="A2:P2"/>
    <mergeCell ref="A3:P3"/>
    <mergeCell ref="A5:C5"/>
    <mergeCell ref="D5:P5"/>
    <mergeCell ref="A7:C7"/>
    <mergeCell ref="D7:P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48"/>
  <sheetViews>
    <sheetView zoomScale="75" zoomScaleNormal="75" zoomScalePageLayoutView="0" workbookViewId="0" topLeftCell="A1">
      <selection activeCell="O40" sqref="O40"/>
    </sheetView>
  </sheetViews>
  <sheetFormatPr defaultColWidth="9.140625" defaultRowHeight="15"/>
  <cols>
    <col min="7" max="7" width="9.57421875" style="0" bestFit="1" customWidth="1"/>
    <col min="9" max="9" width="11.421875" style="0" customWidth="1"/>
    <col min="15" max="17" width="9.140625" style="80" customWidth="1"/>
    <col min="18" max="18" width="9.140625" style="248" customWidth="1"/>
    <col min="19" max="22" width="9.140625" style="80" customWidth="1"/>
  </cols>
  <sheetData>
    <row r="1" spans="1:22" ht="15">
      <c r="A1" t="s">
        <v>119</v>
      </c>
      <c r="O1" s="1"/>
      <c r="P1" s="1"/>
      <c r="Q1" s="1"/>
      <c r="R1" s="237"/>
      <c r="S1" s="1"/>
      <c r="T1" s="1"/>
      <c r="U1" s="1"/>
      <c r="V1" s="1"/>
    </row>
    <row r="2" spans="1:22" s="186" customFormat="1" ht="50.25" customHeight="1">
      <c r="A2" s="185"/>
      <c r="B2" s="185" t="s">
        <v>110</v>
      </c>
      <c r="C2" s="185" t="s">
        <v>111</v>
      </c>
      <c r="D2" s="185" t="s">
        <v>112</v>
      </c>
      <c r="E2" s="185" t="s">
        <v>113</v>
      </c>
      <c r="F2" s="185" t="s">
        <v>114</v>
      </c>
      <c r="G2" s="187" t="s">
        <v>115</v>
      </c>
      <c r="H2" s="187" t="s">
        <v>118</v>
      </c>
      <c r="I2" s="187" t="s">
        <v>116</v>
      </c>
      <c r="J2" s="187" t="s">
        <v>117</v>
      </c>
      <c r="K2" s="185"/>
      <c r="O2" s="2"/>
      <c r="P2" s="2"/>
      <c r="Q2" s="2"/>
      <c r="R2" s="238"/>
      <c r="S2" s="2"/>
      <c r="T2" s="2"/>
      <c r="U2" s="2"/>
      <c r="V2" s="2"/>
    </row>
    <row r="3" spans="1:22" s="186" customFormat="1" ht="30">
      <c r="A3" s="185" t="s">
        <v>187</v>
      </c>
      <c r="B3" s="185"/>
      <c r="C3" s="185"/>
      <c r="D3" s="185"/>
      <c r="E3" s="185"/>
      <c r="F3" s="185"/>
      <c r="G3" s="187"/>
      <c r="H3" s="187"/>
      <c r="I3" s="187"/>
      <c r="J3" s="187"/>
      <c r="K3" s="185"/>
      <c r="O3" s="2"/>
      <c r="P3" s="2"/>
      <c r="Q3" s="2"/>
      <c r="R3" s="238"/>
      <c r="S3" s="2"/>
      <c r="T3" s="2"/>
      <c r="U3" s="2"/>
      <c r="V3" s="2"/>
    </row>
    <row r="4" spans="1:22" ht="16.5" hidden="1">
      <c r="A4" s="184" t="s">
        <v>104</v>
      </c>
      <c r="B4" s="249">
        <v>1.2</v>
      </c>
      <c r="C4" s="249">
        <v>3.6</v>
      </c>
      <c r="D4" s="249"/>
      <c r="E4" s="183">
        <f aca="true" t="shared" si="0" ref="E4:E20">ROUND(B4*C4,2)</f>
        <v>4.32</v>
      </c>
      <c r="F4" s="183">
        <f aca="true" t="shared" si="1" ref="F4:F20">ROUND(E4*D4,2)</f>
        <v>0</v>
      </c>
      <c r="G4" s="183">
        <f aca="true" t="shared" si="2" ref="G4:G20">(B4+C4*2)*D4</f>
        <v>0</v>
      </c>
      <c r="H4" s="183">
        <f>(B4+C4*2)*0.3*D4</f>
        <v>0</v>
      </c>
      <c r="I4" s="183">
        <f aca="true" t="shared" si="3" ref="I4:I20">(B4+0.2)*D4</f>
        <v>0</v>
      </c>
      <c r="J4" s="183">
        <f aca="true" t="shared" si="4" ref="J4:J20">B4*D4</f>
        <v>0</v>
      </c>
      <c r="K4" s="183"/>
      <c r="M4">
        <v>1350</v>
      </c>
      <c r="O4" s="10"/>
      <c r="P4" s="10"/>
      <c r="Q4" s="10"/>
      <c r="R4" s="239"/>
      <c r="S4" s="10"/>
      <c r="T4" s="10"/>
      <c r="U4" s="10"/>
      <c r="V4" s="10"/>
    </row>
    <row r="5" spans="1:22" ht="16.5">
      <c r="A5" s="184" t="s">
        <v>105</v>
      </c>
      <c r="B5" s="249">
        <v>1.8</v>
      </c>
      <c r="C5" s="249">
        <v>2.3</v>
      </c>
      <c r="D5" s="249">
        <v>23</v>
      </c>
      <c r="E5" s="183">
        <f t="shared" si="0"/>
        <v>4.14</v>
      </c>
      <c r="F5" s="183">
        <f t="shared" si="1"/>
        <v>95.22</v>
      </c>
      <c r="G5" s="183">
        <f t="shared" si="2"/>
        <v>147.2</v>
      </c>
      <c r="H5" s="183">
        <f aca="true" t="shared" si="5" ref="H5:H20">(B5+C5*2)*0.3*D5</f>
        <v>44.16</v>
      </c>
      <c r="I5" s="183">
        <f t="shared" si="3"/>
        <v>46</v>
      </c>
      <c r="J5" s="183">
        <f t="shared" si="4"/>
        <v>41.4</v>
      </c>
      <c r="K5" s="183"/>
      <c r="O5" s="10"/>
      <c r="P5" s="10"/>
      <c r="Q5" s="10"/>
      <c r="R5" s="239"/>
      <c r="S5" s="10"/>
      <c r="T5" s="10"/>
      <c r="U5" s="10"/>
      <c r="V5" s="10"/>
    </row>
    <row r="6" spans="1:22" ht="16.5">
      <c r="A6" s="184" t="s">
        <v>106</v>
      </c>
      <c r="B6" s="249">
        <v>1.2</v>
      </c>
      <c r="C6" s="249">
        <v>2.3</v>
      </c>
      <c r="D6" s="249">
        <v>15</v>
      </c>
      <c r="E6" s="183">
        <f t="shared" si="0"/>
        <v>2.76</v>
      </c>
      <c r="F6" s="183">
        <f t="shared" si="1"/>
        <v>41.4</v>
      </c>
      <c r="G6" s="183">
        <f t="shared" si="2"/>
        <v>87</v>
      </c>
      <c r="H6" s="183">
        <f t="shared" si="5"/>
        <v>26.1</v>
      </c>
      <c r="I6" s="183">
        <f t="shared" si="3"/>
        <v>21</v>
      </c>
      <c r="J6" s="183">
        <f t="shared" si="4"/>
        <v>18</v>
      </c>
      <c r="K6" s="183"/>
      <c r="M6">
        <f>SUM(F4:F9)</f>
        <v>161.81</v>
      </c>
      <c r="N6">
        <f>M4-M6</f>
        <v>1188.19</v>
      </c>
      <c r="O6" s="10"/>
      <c r="P6" s="10"/>
      <c r="Q6" s="10"/>
      <c r="R6" s="239"/>
      <c r="S6" s="10"/>
      <c r="T6" s="10"/>
      <c r="U6" s="10"/>
      <c r="V6" s="10"/>
    </row>
    <row r="7" spans="1:22" ht="16.5">
      <c r="A7" s="184" t="s">
        <v>107</v>
      </c>
      <c r="B7" s="249">
        <v>1.1</v>
      </c>
      <c r="C7" s="249">
        <v>0.9</v>
      </c>
      <c r="D7" s="249">
        <v>11</v>
      </c>
      <c r="E7" s="183">
        <f t="shared" si="0"/>
        <v>0.99</v>
      </c>
      <c r="F7" s="183">
        <f t="shared" si="1"/>
        <v>10.89</v>
      </c>
      <c r="G7" s="183">
        <f t="shared" si="2"/>
        <v>31.9</v>
      </c>
      <c r="H7" s="183">
        <f t="shared" si="5"/>
        <v>9.57</v>
      </c>
      <c r="I7" s="183"/>
      <c r="J7" s="183"/>
      <c r="K7" s="183"/>
      <c r="O7" s="10"/>
      <c r="P7" s="10"/>
      <c r="Q7" s="10"/>
      <c r="R7" s="239"/>
      <c r="S7" s="10"/>
      <c r="T7" s="10"/>
      <c r="U7" s="10"/>
      <c r="V7" s="10"/>
    </row>
    <row r="8" spans="1:22" ht="16.5">
      <c r="A8" s="184" t="s">
        <v>108</v>
      </c>
      <c r="B8" s="249">
        <v>0.55</v>
      </c>
      <c r="C8" s="249">
        <v>2</v>
      </c>
      <c r="D8" s="249">
        <v>6</v>
      </c>
      <c r="E8" s="183">
        <f t="shared" si="0"/>
        <v>1.1</v>
      </c>
      <c r="F8" s="183">
        <f t="shared" si="1"/>
        <v>6.6</v>
      </c>
      <c r="G8" s="183">
        <f t="shared" si="2"/>
        <v>27.3</v>
      </c>
      <c r="H8" s="183">
        <f t="shared" si="5"/>
        <v>8.19</v>
      </c>
      <c r="I8" s="183">
        <f t="shared" si="3"/>
        <v>4.5</v>
      </c>
      <c r="J8" s="183">
        <f t="shared" si="4"/>
        <v>3.3</v>
      </c>
      <c r="K8" s="183"/>
      <c r="M8" s="253">
        <f>(SUM(G4:G9)+G28+G29)*0.15</f>
        <v>51.0885</v>
      </c>
      <c r="N8" t="s">
        <v>168</v>
      </c>
      <c r="O8" s="10"/>
      <c r="P8" s="10"/>
      <c r="Q8" s="10"/>
      <c r="R8" s="239"/>
      <c r="S8" s="10"/>
      <c r="T8" s="10"/>
      <c r="U8" s="10"/>
      <c r="V8" s="10"/>
    </row>
    <row r="9" spans="1:22" ht="16.5">
      <c r="A9" s="184" t="s">
        <v>109</v>
      </c>
      <c r="B9" s="249">
        <v>0.55</v>
      </c>
      <c r="C9" s="249">
        <v>2</v>
      </c>
      <c r="D9" s="249">
        <v>7</v>
      </c>
      <c r="E9" s="183">
        <f t="shared" si="0"/>
        <v>1.1</v>
      </c>
      <c r="F9" s="183">
        <f t="shared" si="1"/>
        <v>7.7</v>
      </c>
      <c r="G9" s="183">
        <f t="shared" si="2"/>
        <v>31.85</v>
      </c>
      <c r="H9" s="183">
        <f t="shared" si="5"/>
        <v>9.555</v>
      </c>
      <c r="I9" s="183">
        <f t="shared" si="3"/>
        <v>5.25</v>
      </c>
      <c r="J9" s="183">
        <f t="shared" si="4"/>
        <v>3.85</v>
      </c>
      <c r="K9" s="183"/>
      <c r="O9" s="10"/>
      <c r="P9" s="10"/>
      <c r="Q9" s="10"/>
      <c r="R9" s="239"/>
      <c r="S9" s="10"/>
      <c r="T9" s="10"/>
      <c r="U9" s="10"/>
      <c r="V9" s="10"/>
    </row>
    <row r="10" spans="1:22" ht="16.5">
      <c r="A10" s="184" t="s">
        <v>120</v>
      </c>
      <c r="B10" s="249">
        <v>0.75</v>
      </c>
      <c r="C10" s="249">
        <v>2.3</v>
      </c>
      <c r="D10" s="249">
        <v>7</v>
      </c>
      <c r="E10" s="183">
        <f t="shared" si="0"/>
        <v>1.73</v>
      </c>
      <c r="F10" s="183">
        <f t="shared" si="1"/>
        <v>12.11</v>
      </c>
      <c r="G10" s="183">
        <f t="shared" si="2"/>
        <v>37.45</v>
      </c>
      <c r="H10" s="183">
        <f t="shared" si="5"/>
        <v>11.235</v>
      </c>
      <c r="I10" s="183">
        <f t="shared" si="3"/>
        <v>6.65</v>
      </c>
      <c r="J10" s="183">
        <f t="shared" si="4"/>
        <v>5.25</v>
      </c>
      <c r="K10" s="183"/>
      <c r="O10" s="10"/>
      <c r="P10" s="10"/>
      <c r="Q10" s="10"/>
      <c r="R10" s="239"/>
      <c r="S10" s="10"/>
      <c r="T10" s="10"/>
      <c r="U10" s="10"/>
      <c r="V10" s="10"/>
    </row>
    <row r="11" spans="1:22" ht="16.5">
      <c r="A11" s="184" t="s">
        <v>121</v>
      </c>
      <c r="B11" s="249">
        <v>0.55</v>
      </c>
      <c r="C11" s="249">
        <v>4.1</v>
      </c>
      <c r="D11" s="249">
        <v>6</v>
      </c>
      <c r="E11" s="183">
        <f t="shared" si="0"/>
        <v>2.26</v>
      </c>
      <c r="F11" s="183">
        <f t="shared" si="1"/>
        <v>13.56</v>
      </c>
      <c r="G11" s="183">
        <f t="shared" si="2"/>
        <v>52.5</v>
      </c>
      <c r="H11" s="183">
        <f t="shared" si="5"/>
        <v>15.75</v>
      </c>
      <c r="I11" s="183">
        <f t="shared" si="3"/>
        <v>4.5</v>
      </c>
      <c r="J11" s="183">
        <f t="shared" si="4"/>
        <v>3.3</v>
      </c>
      <c r="K11" s="183"/>
      <c r="O11" s="10"/>
      <c r="P11" s="10"/>
      <c r="Q11" s="10"/>
      <c r="R11" s="239"/>
      <c r="S11" s="10"/>
      <c r="T11" s="10"/>
      <c r="U11" s="10"/>
      <c r="V11" s="10"/>
    </row>
    <row r="12" spans="1:22" ht="16.5">
      <c r="A12" s="184" t="s">
        <v>122</v>
      </c>
      <c r="B12" s="249">
        <v>0.55</v>
      </c>
      <c r="C12" s="249">
        <v>2.4</v>
      </c>
      <c r="D12" s="249">
        <v>6</v>
      </c>
      <c r="E12" s="183">
        <f t="shared" si="0"/>
        <v>1.32</v>
      </c>
      <c r="F12" s="183">
        <f t="shared" si="1"/>
        <v>7.92</v>
      </c>
      <c r="G12" s="183">
        <f t="shared" si="2"/>
        <v>32.1</v>
      </c>
      <c r="H12" s="183">
        <f t="shared" si="5"/>
        <v>9.63</v>
      </c>
      <c r="I12" s="183">
        <f t="shared" si="3"/>
        <v>4.5</v>
      </c>
      <c r="J12" s="183">
        <f t="shared" si="4"/>
        <v>3.3</v>
      </c>
      <c r="K12" s="183"/>
      <c r="O12" s="10"/>
      <c r="P12" s="10"/>
      <c r="Q12" s="10"/>
      <c r="R12" s="239"/>
      <c r="S12" s="10"/>
      <c r="T12" s="10"/>
      <c r="U12" s="10"/>
      <c r="V12" s="10"/>
    </row>
    <row r="13" spans="1:22" ht="16.5">
      <c r="A13" s="184" t="s">
        <v>123</v>
      </c>
      <c r="B13" s="249">
        <v>0.3</v>
      </c>
      <c r="C13" s="249">
        <v>0.71</v>
      </c>
      <c r="D13" s="249">
        <v>4</v>
      </c>
      <c r="E13" s="183">
        <f t="shared" si="0"/>
        <v>0.21</v>
      </c>
      <c r="F13" s="183"/>
      <c r="G13" s="183"/>
      <c r="H13" s="183"/>
      <c r="I13" s="183"/>
      <c r="J13" s="183"/>
      <c r="K13" s="183"/>
      <c r="O13" s="10"/>
      <c r="P13" s="10"/>
      <c r="Q13" s="10"/>
      <c r="R13" s="239"/>
      <c r="S13" s="10"/>
      <c r="T13" s="10"/>
      <c r="U13" s="10"/>
      <c r="V13" s="10"/>
    </row>
    <row r="14" spans="1:22" s="189" customFormat="1" ht="16.5">
      <c r="A14" s="188" t="s">
        <v>114</v>
      </c>
      <c r="B14" s="188"/>
      <c r="C14" s="188"/>
      <c r="D14" s="188">
        <f>SUM(D4:D13)</f>
        <v>85</v>
      </c>
      <c r="E14" s="188"/>
      <c r="F14" s="188">
        <f aca="true" t="shared" si="6" ref="F14:K14">SUM(F4:F13)</f>
        <v>195.4</v>
      </c>
      <c r="G14" s="188">
        <f t="shared" si="6"/>
        <v>447.3</v>
      </c>
      <c r="H14" s="188">
        <f t="shared" si="6"/>
        <v>134.19</v>
      </c>
      <c r="I14" s="188">
        <f t="shared" si="6"/>
        <v>92.4</v>
      </c>
      <c r="J14" s="188">
        <f t="shared" si="6"/>
        <v>78.4</v>
      </c>
      <c r="K14" s="188">
        <f t="shared" si="6"/>
        <v>0</v>
      </c>
      <c r="O14" s="16"/>
      <c r="P14" s="16"/>
      <c r="Q14" s="16"/>
      <c r="R14" s="240"/>
      <c r="S14" s="16"/>
      <c r="T14" s="16"/>
      <c r="U14" s="16"/>
      <c r="V14" s="16"/>
    </row>
    <row r="15" spans="1:22" s="186" customFormat="1" ht="30">
      <c r="A15" s="185" t="s">
        <v>6</v>
      </c>
      <c r="B15" s="185"/>
      <c r="C15" s="185"/>
      <c r="D15" s="185"/>
      <c r="E15" s="185"/>
      <c r="F15" s="185"/>
      <c r="G15" s="187"/>
      <c r="H15" s="187"/>
      <c r="I15" s="187"/>
      <c r="J15" s="187"/>
      <c r="K15" s="185"/>
      <c r="O15" s="2"/>
      <c r="P15" s="2"/>
      <c r="Q15" s="2"/>
      <c r="R15" s="238"/>
      <c r="S15" s="2"/>
      <c r="T15" s="2"/>
      <c r="U15" s="2"/>
      <c r="V15" s="2"/>
    </row>
    <row r="16" spans="1:22" ht="16.5">
      <c r="A16" s="184" t="s">
        <v>124</v>
      </c>
      <c r="B16" s="249">
        <v>1.7</v>
      </c>
      <c r="C16" s="249">
        <v>1.7</v>
      </c>
      <c r="D16" s="249">
        <v>42</v>
      </c>
      <c r="E16" s="183">
        <f t="shared" si="0"/>
        <v>2.89</v>
      </c>
      <c r="F16" s="183">
        <f t="shared" si="1"/>
        <v>121.38</v>
      </c>
      <c r="G16" s="183">
        <f t="shared" si="2"/>
        <v>214.2</v>
      </c>
      <c r="H16" s="183">
        <f t="shared" si="5"/>
        <v>64.26</v>
      </c>
      <c r="I16" s="183">
        <f t="shared" si="3"/>
        <v>79.8</v>
      </c>
      <c r="J16" s="183">
        <f t="shared" si="4"/>
        <v>71.4</v>
      </c>
      <c r="K16" s="183"/>
      <c r="O16" s="10"/>
      <c r="P16" s="10"/>
      <c r="Q16" s="10"/>
      <c r="R16" s="239"/>
      <c r="S16" s="10"/>
      <c r="T16" s="10"/>
      <c r="U16" s="10"/>
      <c r="V16" s="10"/>
    </row>
    <row r="17" spans="1:22" ht="16.5">
      <c r="A17" s="184" t="s">
        <v>125</v>
      </c>
      <c r="B17" s="249">
        <v>1.7</v>
      </c>
      <c r="C17" s="249">
        <v>2.8</v>
      </c>
      <c r="D17" s="249">
        <v>8</v>
      </c>
      <c r="E17" s="183">
        <f t="shared" si="0"/>
        <v>4.76</v>
      </c>
      <c r="F17" s="183">
        <f t="shared" si="1"/>
        <v>38.08</v>
      </c>
      <c r="G17" s="183">
        <f t="shared" si="2"/>
        <v>58.4</v>
      </c>
      <c r="H17" s="183">
        <f t="shared" si="5"/>
        <v>17.52</v>
      </c>
      <c r="I17" s="183">
        <f t="shared" si="3"/>
        <v>15.2</v>
      </c>
      <c r="J17" s="183">
        <f t="shared" si="4"/>
        <v>13.6</v>
      </c>
      <c r="K17" s="183"/>
      <c r="O17" s="10"/>
      <c r="P17" s="10"/>
      <c r="Q17" s="10"/>
      <c r="R17" s="239"/>
      <c r="S17" s="10"/>
      <c r="T17" s="10"/>
      <c r="U17" s="10"/>
      <c r="V17" s="10"/>
    </row>
    <row r="18" spans="1:22" ht="16.5">
      <c r="A18" s="184" t="s">
        <v>126</v>
      </c>
      <c r="B18" s="249">
        <v>1.7</v>
      </c>
      <c r="C18" s="249">
        <v>3.42</v>
      </c>
      <c r="D18" s="249">
        <v>1</v>
      </c>
      <c r="E18" s="183">
        <f t="shared" si="0"/>
        <v>5.81</v>
      </c>
      <c r="F18" s="183">
        <f t="shared" si="1"/>
        <v>5.81</v>
      </c>
      <c r="G18" s="183">
        <f t="shared" si="2"/>
        <v>8.54</v>
      </c>
      <c r="H18" s="183">
        <f t="shared" si="5"/>
        <v>2.562</v>
      </c>
      <c r="I18" s="183">
        <f t="shared" si="3"/>
        <v>1.9</v>
      </c>
      <c r="J18" s="183">
        <f t="shared" si="4"/>
        <v>1.7</v>
      </c>
      <c r="K18" s="183"/>
      <c r="O18" s="10"/>
      <c r="P18" s="10"/>
      <c r="Q18" s="10"/>
      <c r="R18" s="239"/>
      <c r="S18" s="10"/>
      <c r="T18" s="10"/>
      <c r="U18" s="10"/>
      <c r="V18" s="10"/>
    </row>
    <row r="19" spans="1:22" ht="16.5">
      <c r="A19" s="184" t="s">
        <v>127</v>
      </c>
      <c r="B19" s="249">
        <v>1.7</v>
      </c>
      <c r="C19" s="249">
        <v>3.77</v>
      </c>
      <c r="D19" s="249">
        <v>1</v>
      </c>
      <c r="E19" s="183">
        <f t="shared" si="0"/>
        <v>6.41</v>
      </c>
      <c r="F19" s="183">
        <f t="shared" si="1"/>
        <v>6.41</v>
      </c>
      <c r="G19" s="183">
        <f t="shared" si="2"/>
        <v>9.24</v>
      </c>
      <c r="H19" s="183">
        <f t="shared" si="5"/>
        <v>2.772</v>
      </c>
      <c r="I19" s="183">
        <f t="shared" si="3"/>
        <v>1.9</v>
      </c>
      <c r="J19" s="183">
        <f t="shared" si="4"/>
        <v>1.7</v>
      </c>
      <c r="K19" s="183"/>
      <c r="O19" s="10"/>
      <c r="P19" s="10"/>
      <c r="Q19" s="10"/>
      <c r="R19" s="239"/>
      <c r="S19" s="10"/>
      <c r="T19" s="10"/>
      <c r="U19" s="10"/>
      <c r="V19" s="10"/>
    </row>
    <row r="20" spans="1:22" ht="16.5">
      <c r="A20" s="184" t="s">
        <v>128</v>
      </c>
      <c r="B20" s="249"/>
      <c r="C20" s="249"/>
      <c r="D20" s="249"/>
      <c r="E20" s="183">
        <f t="shared" si="0"/>
        <v>0</v>
      </c>
      <c r="F20" s="183">
        <f t="shared" si="1"/>
        <v>0</v>
      </c>
      <c r="G20" s="183">
        <f t="shared" si="2"/>
        <v>0</v>
      </c>
      <c r="H20" s="183">
        <f t="shared" si="5"/>
        <v>0</v>
      </c>
      <c r="I20" s="183">
        <f t="shared" si="3"/>
        <v>0</v>
      </c>
      <c r="J20" s="183">
        <f t="shared" si="4"/>
        <v>0</v>
      </c>
      <c r="K20" s="183"/>
      <c r="O20" s="10"/>
      <c r="P20" s="10"/>
      <c r="Q20" s="10"/>
      <c r="R20" s="239"/>
      <c r="S20" s="10"/>
      <c r="T20" s="10"/>
      <c r="U20" s="10"/>
      <c r="V20" s="10"/>
    </row>
    <row r="21" spans="1:22" ht="16.5">
      <c r="A21" s="184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O21" s="10"/>
      <c r="P21" s="10"/>
      <c r="Q21" s="10"/>
      <c r="R21" s="239"/>
      <c r="S21" s="10"/>
      <c r="T21" s="10"/>
      <c r="U21" s="10"/>
      <c r="V21" s="10"/>
    </row>
    <row r="22" spans="1:22" s="189" customFormat="1" ht="16.5">
      <c r="A22" s="188" t="s">
        <v>114</v>
      </c>
      <c r="B22" s="188"/>
      <c r="C22" s="188"/>
      <c r="D22" s="188">
        <f>SUM(D16:D21)</f>
        <v>52</v>
      </c>
      <c r="E22" s="188">
        <f aca="true" t="shared" si="7" ref="E22:K22">SUM(E16:E21)</f>
        <v>19.87</v>
      </c>
      <c r="F22" s="188">
        <f>SUM(F16:F21)</f>
        <v>171.68</v>
      </c>
      <c r="G22" s="188">
        <f>SUM(G16:G21)</f>
        <v>290.38</v>
      </c>
      <c r="H22" s="188">
        <f>SUM(H16:H21)</f>
        <v>87.114</v>
      </c>
      <c r="I22" s="188">
        <f t="shared" si="7"/>
        <v>98.8</v>
      </c>
      <c r="J22" s="188">
        <f t="shared" si="7"/>
        <v>88.4</v>
      </c>
      <c r="K22" s="188">
        <f t="shared" si="7"/>
        <v>0</v>
      </c>
      <c r="O22" s="16"/>
      <c r="P22" s="16"/>
      <c r="Q22" s="16"/>
      <c r="R22" s="240"/>
      <c r="S22" s="16"/>
      <c r="T22" s="16"/>
      <c r="U22" s="16"/>
      <c r="V22" s="16"/>
    </row>
    <row r="23" spans="1:22" ht="16.5">
      <c r="A23" s="276"/>
      <c r="B23" s="276"/>
      <c r="C23" s="276"/>
      <c r="D23" s="276">
        <f>SUM(D22,D14)</f>
        <v>137</v>
      </c>
      <c r="E23" s="276">
        <f aca="true" t="shared" si="8" ref="E23:K23">SUM(E22,E14)</f>
        <v>19.87</v>
      </c>
      <c r="F23" s="276">
        <f t="shared" si="8"/>
        <v>367.08</v>
      </c>
      <c r="G23" s="276">
        <f>SUM(G22,G14)</f>
        <v>737.68</v>
      </c>
      <c r="H23" s="276">
        <f>SUM(H22,H14)</f>
        <v>221.304</v>
      </c>
      <c r="I23" s="276">
        <f t="shared" si="8"/>
        <v>191.2</v>
      </c>
      <c r="J23" s="276">
        <f>SUM(J22,J14)</f>
        <v>166.8</v>
      </c>
      <c r="K23" s="276">
        <f t="shared" si="8"/>
        <v>0</v>
      </c>
      <c r="O23" s="16"/>
      <c r="P23" s="16"/>
      <c r="Q23" s="16"/>
      <c r="R23" s="240"/>
      <c r="S23" s="16"/>
      <c r="T23" s="16"/>
      <c r="U23" s="16"/>
      <c r="V23" s="16"/>
    </row>
    <row r="24" spans="7:22" ht="16.5" hidden="1">
      <c r="G24" s="191">
        <f>G22*0.45</f>
        <v>130.7</v>
      </c>
      <c r="O24" s="11"/>
      <c r="P24" s="11"/>
      <c r="Q24" s="11"/>
      <c r="R24" s="241"/>
      <c r="S24" s="11"/>
      <c r="T24" s="11"/>
      <c r="U24" s="11"/>
      <c r="V24" s="11"/>
    </row>
    <row r="25" spans="9:22" ht="16.5" hidden="1">
      <c r="I25" s="250"/>
      <c r="J25" s="250"/>
      <c r="K25" s="250"/>
      <c r="O25" s="28"/>
      <c r="P25" s="28"/>
      <c r="Q25" s="28"/>
      <c r="R25" s="242"/>
      <c r="S25" s="28"/>
      <c r="T25" s="28"/>
      <c r="U25" s="28"/>
      <c r="V25" s="28"/>
    </row>
    <row r="26" spans="1:22" ht="15">
      <c r="A26" t="s">
        <v>0</v>
      </c>
      <c r="I26" s="250"/>
      <c r="J26" s="250"/>
      <c r="K26" s="250"/>
      <c r="O26" s="31"/>
      <c r="P26" s="31"/>
      <c r="Q26" s="31"/>
      <c r="R26" s="243"/>
      <c r="S26" s="31"/>
      <c r="T26" s="31"/>
      <c r="U26" s="31"/>
      <c r="V26" s="31"/>
    </row>
    <row r="27" spans="1:22" s="186" customFormat="1" ht="50.25" customHeight="1">
      <c r="A27" s="185"/>
      <c r="B27" s="185" t="s">
        <v>110</v>
      </c>
      <c r="C27" s="185" t="s">
        <v>111</v>
      </c>
      <c r="D27" s="185" t="s">
        <v>112</v>
      </c>
      <c r="E27" s="185" t="s">
        <v>113</v>
      </c>
      <c r="F27" s="185" t="s">
        <v>114</v>
      </c>
      <c r="G27" s="187" t="s">
        <v>115</v>
      </c>
      <c r="H27" s="187" t="s">
        <v>118</v>
      </c>
      <c r="I27" s="251"/>
      <c r="J27" s="251"/>
      <c r="K27" s="252"/>
      <c r="O27" s="31"/>
      <c r="P27" s="31"/>
      <c r="Q27" s="31"/>
      <c r="R27" s="243"/>
      <c r="S27" s="31"/>
      <c r="T27" s="31"/>
      <c r="U27" s="31"/>
      <c r="V27" s="31"/>
    </row>
    <row r="28" spans="1:22" ht="16.5">
      <c r="A28" s="184" t="s">
        <v>1</v>
      </c>
      <c r="B28" s="249">
        <v>1.48</v>
      </c>
      <c r="C28" s="249">
        <v>3.06</v>
      </c>
      <c r="D28" s="249">
        <v>1</v>
      </c>
      <c r="E28" s="183">
        <f>ROUND(B28*C28,2)</f>
        <v>4.53</v>
      </c>
      <c r="F28" s="183">
        <f>ROUND(E28*D28,2)</f>
        <v>4.53</v>
      </c>
      <c r="G28" s="183">
        <f>(B28+C28*2)</f>
        <v>7.6</v>
      </c>
      <c r="H28" s="183">
        <f>(B28+C28*2)*0.3</f>
        <v>2.28</v>
      </c>
      <c r="I28" s="250"/>
      <c r="J28" s="250"/>
      <c r="K28" s="250"/>
      <c r="O28" s="31"/>
      <c r="P28" s="31"/>
      <c r="Q28" s="31"/>
      <c r="R28" s="243"/>
      <c r="S28" s="31"/>
      <c r="T28" s="31"/>
      <c r="U28" s="31"/>
      <c r="V28" s="31"/>
    </row>
    <row r="29" spans="1:22" ht="16.5">
      <c r="A29" s="184" t="s">
        <v>2</v>
      </c>
      <c r="B29" s="249">
        <v>1.7</v>
      </c>
      <c r="C29" s="249">
        <v>3.02</v>
      </c>
      <c r="D29" s="249">
        <v>1</v>
      </c>
      <c r="E29" s="183">
        <f>ROUND(B29*C29,2)</f>
        <v>5.13</v>
      </c>
      <c r="F29" s="183">
        <f>ROUND(E29*D29,2)</f>
        <v>5.13</v>
      </c>
      <c r="G29" s="183">
        <f>(B29+C29*2)</f>
        <v>7.74</v>
      </c>
      <c r="H29" s="183">
        <f>(B29+C29*2)*0.3</f>
        <v>2.322</v>
      </c>
      <c r="I29" s="250"/>
      <c r="J29" s="250"/>
      <c r="K29" s="250"/>
      <c r="O29" s="99"/>
      <c r="P29" s="99"/>
      <c r="Q29" s="99"/>
      <c r="R29" s="244"/>
      <c r="S29" s="99"/>
      <c r="T29" s="99"/>
      <c r="U29" s="99"/>
      <c r="V29" s="99"/>
    </row>
    <row r="30" spans="1:22" ht="16.5">
      <c r="A30" s="184" t="s">
        <v>3</v>
      </c>
      <c r="B30" s="249">
        <v>1.65</v>
      </c>
      <c r="C30" s="249">
        <v>3.195</v>
      </c>
      <c r="D30" s="249">
        <v>1</v>
      </c>
      <c r="E30" s="183">
        <f>ROUND(B30*C30,2)</f>
        <v>5.27</v>
      </c>
      <c r="F30" s="183">
        <f>ROUND(E30*D30,2)</f>
        <v>5.27</v>
      </c>
      <c r="G30" s="183">
        <f>(B30+C30*2)</f>
        <v>8.04</v>
      </c>
      <c r="H30" s="183">
        <f>(B30+C30*2)*0.3</f>
        <v>2.412</v>
      </c>
      <c r="I30" s="250"/>
      <c r="J30" s="250"/>
      <c r="K30" s="250"/>
      <c r="O30" s="102"/>
      <c r="P30" s="102"/>
      <c r="Q30" s="102"/>
      <c r="R30" s="245"/>
      <c r="S30" s="245"/>
      <c r="T30" s="102"/>
      <c r="U30" s="102"/>
      <c r="V30" s="102"/>
    </row>
    <row r="31" spans="1:22" ht="16.5">
      <c r="A31" s="184" t="s">
        <v>4</v>
      </c>
      <c r="B31" s="249">
        <v>1.47</v>
      </c>
      <c r="C31" s="249">
        <v>2.47</v>
      </c>
      <c r="D31" s="249">
        <v>2</v>
      </c>
      <c r="E31" s="183">
        <f>ROUND(B31*C31,2)</f>
        <v>3.63</v>
      </c>
      <c r="F31" s="183">
        <f>ROUND(E31*D31,2)</f>
        <v>7.26</v>
      </c>
      <c r="G31" s="183">
        <f>(B31+C31*2)</f>
        <v>6.41</v>
      </c>
      <c r="H31" s="183">
        <f>(B31+C31*2)*0.3</f>
        <v>1.923</v>
      </c>
      <c r="I31" s="250"/>
      <c r="J31" s="250"/>
      <c r="K31" s="250"/>
      <c r="O31" s="102"/>
      <c r="P31" s="102"/>
      <c r="Q31" s="102"/>
      <c r="R31" s="246"/>
      <c r="S31" s="102"/>
      <c r="T31" s="102"/>
      <c r="U31" s="102"/>
      <c r="V31" s="102"/>
    </row>
    <row r="32" spans="1:22" ht="16.5">
      <c r="A32" s="184" t="s">
        <v>5</v>
      </c>
      <c r="B32" s="249">
        <v>1.1</v>
      </c>
      <c r="C32" s="249">
        <v>2</v>
      </c>
      <c r="D32" s="249">
        <v>1</v>
      </c>
      <c r="E32" s="183">
        <f>ROUND(B32*C32,2)</f>
        <v>2.2</v>
      </c>
      <c r="F32" s="183">
        <f>ROUND(E32*D32,2)</f>
        <v>2.2</v>
      </c>
      <c r="G32" s="183">
        <f>(B32+C32*2)</f>
        <v>5.1</v>
      </c>
      <c r="H32" s="183">
        <f>(B32+C32*2)*0.3</f>
        <v>1.53</v>
      </c>
      <c r="I32" s="250"/>
      <c r="J32" s="250"/>
      <c r="K32" s="250"/>
      <c r="O32" s="102"/>
      <c r="P32" s="102"/>
      <c r="Q32" s="102"/>
      <c r="R32" s="246"/>
      <c r="S32" s="102"/>
      <c r="T32" s="102"/>
      <c r="U32" s="102"/>
      <c r="V32" s="102"/>
    </row>
    <row r="33" spans="1:22" s="189" customFormat="1" ht="16.5">
      <c r="A33" s="188" t="s">
        <v>114</v>
      </c>
      <c r="B33" s="188"/>
      <c r="C33" s="188"/>
      <c r="D33" s="188">
        <f>SUM(D28:D32)</f>
        <v>6</v>
      </c>
      <c r="E33" s="188">
        <f>SUM(E28:E32)</f>
        <v>20.76</v>
      </c>
      <c r="F33" s="188">
        <f>SUM(F28:F32)</f>
        <v>24.39</v>
      </c>
      <c r="G33" s="188">
        <f>SUM(G28:G32)</f>
        <v>34.89</v>
      </c>
      <c r="H33" s="188">
        <f>SUM(H28:H32)</f>
        <v>10.467</v>
      </c>
      <c r="I33" s="190"/>
      <c r="J33" s="190"/>
      <c r="K33" s="190"/>
      <c r="O33" s="102"/>
      <c r="P33" s="102"/>
      <c r="Q33" s="102"/>
      <c r="R33" s="246"/>
      <c r="S33" s="102"/>
      <c r="T33" s="102"/>
      <c r="U33" s="102"/>
      <c r="V33" s="102"/>
    </row>
    <row r="34" spans="9:22" ht="15">
      <c r="I34" s="250"/>
      <c r="J34" s="250"/>
      <c r="K34" s="250"/>
      <c r="O34" s="234"/>
      <c r="P34" s="234"/>
      <c r="Q34" s="234"/>
      <c r="R34" s="247"/>
      <c r="S34" s="234"/>
      <c r="T34" s="234"/>
      <c r="U34" s="234"/>
      <c r="V34" s="234"/>
    </row>
    <row r="35" spans="9:22" ht="15">
      <c r="I35" s="250"/>
      <c r="J35" s="250"/>
      <c r="K35" s="250"/>
      <c r="O35" s="234"/>
      <c r="P35" s="234"/>
      <c r="Q35" s="234"/>
      <c r="R35" s="247"/>
      <c r="S35" s="234"/>
      <c r="T35" s="234"/>
      <c r="U35" s="234"/>
      <c r="V35" s="234"/>
    </row>
    <row r="36" spans="9:22" ht="15">
      <c r="I36" s="250"/>
      <c r="J36" s="250"/>
      <c r="K36" s="250"/>
      <c r="O36" s="234"/>
      <c r="P36" s="234"/>
      <c r="Q36" s="234"/>
      <c r="R36" s="247"/>
      <c r="S36" s="234"/>
      <c r="T36" s="234"/>
      <c r="U36" s="234"/>
      <c r="V36" s="234"/>
    </row>
    <row r="37" spans="9:22" ht="15">
      <c r="I37" s="250"/>
      <c r="J37" s="250"/>
      <c r="K37" s="250"/>
      <c r="O37" s="234"/>
      <c r="P37" s="234"/>
      <c r="Q37" s="234"/>
      <c r="R37" s="247"/>
      <c r="S37" s="234"/>
      <c r="T37" s="234"/>
      <c r="U37" s="234"/>
      <c r="V37" s="234"/>
    </row>
    <row r="38" spans="15:22" ht="15">
      <c r="O38" s="234"/>
      <c r="P38" s="234"/>
      <c r="Q38" s="234"/>
      <c r="R38" s="247"/>
      <c r="S38" s="234"/>
      <c r="T38" s="234"/>
      <c r="U38" s="234"/>
      <c r="V38" s="234"/>
    </row>
    <row r="39" spans="15:22" ht="15">
      <c r="O39" s="234"/>
      <c r="P39" s="234"/>
      <c r="Q39" s="234"/>
      <c r="R39" s="247"/>
      <c r="S39" s="234"/>
      <c r="T39" s="234"/>
      <c r="U39" s="234"/>
      <c r="V39" s="234"/>
    </row>
    <row r="40" spans="15:22" ht="15">
      <c r="O40" s="234"/>
      <c r="P40" s="234"/>
      <c r="Q40" s="234"/>
      <c r="R40" s="247"/>
      <c r="S40" s="234"/>
      <c r="T40" s="234"/>
      <c r="U40" s="234"/>
      <c r="V40" s="234"/>
    </row>
    <row r="41" spans="15:22" ht="15">
      <c r="O41" s="234"/>
      <c r="P41" s="234"/>
      <c r="Q41" s="234"/>
      <c r="R41" s="247"/>
      <c r="S41" s="234"/>
      <c r="T41" s="234"/>
      <c r="U41" s="234"/>
      <c r="V41" s="234"/>
    </row>
    <row r="42" spans="15:22" ht="15">
      <c r="O42" s="234"/>
      <c r="P42" s="234"/>
      <c r="Q42" s="234"/>
      <c r="R42" s="247"/>
      <c r="S42" s="234"/>
      <c r="T42" s="234"/>
      <c r="U42" s="234"/>
      <c r="V42" s="234"/>
    </row>
    <row r="43" spans="15:22" ht="15">
      <c r="O43" s="234"/>
      <c r="P43" s="234"/>
      <c r="Q43" s="234"/>
      <c r="R43" s="247"/>
      <c r="S43" s="234"/>
      <c r="T43" s="234"/>
      <c r="U43" s="234"/>
      <c r="V43" s="234"/>
    </row>
    <row r="44" spans="15:22" ht="15">
      <c r="O44" s="234"/>
      <c r="P44" s="234"/>
      <c r="Q44" s="234"/>
      <c r="R44" s="247"/>
      <c r="S44" s="234"/>
      <c r="T44" s="234"/>
      <c r="U44" s="234"/>
      <c r="V44" s="234"/>
    </row>
    <row r="45" spans="15:22" ht="15">
      <c r="O45" s="234"/>
      <c r="P45" s="234"/>
      <c r="Q45" s="234"/>
      <c r="R45" s="247"/>
      <c r="S45" s="234"/>
      <c r="T45" s="234"/>
      <c r="U45" s="234"/>
      <c r="V45" s="234"/>
    </row>
    <row r="46" spans="15:22" ht="15">
      <c r="O46" s="234"/>
      <c r="P46" s="234"/>
      <c r="Q46" s="234"/>
      <c r="R46" s="247"/>
      <c r="S46" s="234"/>
      <c r="T46" s="234"/>
      <c r="U46" s="234"/>
      <c r="V46" s="234"/>
    </row>
    <row r="47" spans="15:22" ht="15">
      <c r="O47" s="234"/>
      <c r="P47" s="234"/>
      <c r="Q47" s="234"/>
      <c r="R47" s="247"/>
      <c r="S47" s="234"/>
      <c r="T47" s="234"/>
      <c r="U47" s="234"/>
      <c r="V47" s="234"/>
    </row>
    <row r="48" spans="15:22" ht="15">
      <c r="O48" s="234"/>
      <c r="P48" s="234"/>
      <c r="Q48" s="234"/>
      <c r="R48" s="247"/>
      <c r="S48" s="234"/>
      <c r="T48" s="234"/>
      <c r="U48" s="234"/>
      <c r="V48" s="2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93">
      <selection activeCell="F103" sqref="F103"/>
    </sheetView>
  </sheetViews>
  <sheetFormatPr defaultColWidth="9.140625" defaultRowHeight="15"/>
  <cols>
    <col min="1" max="1" width="5.140625" style="378" customWidth="1"/>
    <col min="2" max="2" width="8.140625" style="378" customWidth="1"/>
    <col min="3" max="3" width="23.00390625" style="379" customWidth="1"/>
    <col min="4" max="4" width="4.28125" style="379" customWidth="1"/>
    <col min="5" max="5" width="7.7109375" style="379" customWidth="1"/>
    <col min="6" max="6" width="6.00390625" style="379" customWidth="1"/>
    <col min="7" max="7" width="5.57421875" style="379" customWidth="1"/>
    <col min="8" max="8" width="6.00390625" style="379" customWidth="1"/>
    <col min="9" max="9" width="7.7109375" style="379" customWidth="1"/>
    <col min="10" max="10" width="7.57421875" style="379" customWidth="1"/>
    <col min="11" max="11" width="7.00390625" style="379" customWidth="1"/>
    <col min="12" max="12" width="8.7109375" style="379" customWidth="1"/>
    <col min="13" max="13" width="8.140625" style="379" customWidth="1"/>
    <col min="14" max="14" width="7.8515625" style="379" customWidth="1"/>
    <col min="15" max="15" width="9.00390625" style="379" customWidth="1"/>
    <col min="16" max="16" width="7.7109375" style="379" customWidth="1"/>
    <col min="17" max="16384" width="9.140625" style="379" customWidth="1"/>
  </cols>
  <sheetData>
    <row r="1" spans="1:16" s="1" customFormat="1" ht="18">
      <c r="A1" s="527" t="s">
        <v>262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" customFormat="1" ht="18">
      <c r="A2" s="528" t="s">
        <v>325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s="3" customFormat="1" ht="12.75">
      <c r="A3" s="529" t="s">
        <v>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s="9" customFormat="1" ht="15.75">
      <c r="A4" s="4"/>
      <c r="B4" s="5"/>
      <c r="C4" s="6"/>
      <c r="D4" s="7"/>
      <c r="E4" s="5"/>
      <c r="F4" s="4"/>
      <c r="G4" s="4"/>
      <c r="H4" s="4"/>
      <c r="I4" s="4"/>
      <c r="J4" s="4"/>
      <c r="K4" s="4"/>
      <c r="L4" s="4"/>
      <c r="M4" s="8"/>
      <c r="N4" s="8"/>
      <c r="O4" s="8"/>
      <c r="P4" s="8"/>
    </row>
    <row r="5" spans="1:16" s="182" customFormat="1" ht="14.25" customHeight="1">
      <c r="A5" s="520" t="s">
        <v>11</v>
      </c>
      <c r="B5" s="520"/>
      <c r="C5" s="520"/>
      <c r="D5" s="523" t="s">
        <v>200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s="182" customFormat="1" ht="14.25" customHeight="1">
      <c r="A6" s="520" t="s">
        <v>12</v>
      </c>
      <c r="B6" s="520"/>
      <c r="C6" s="520"/>
      <c r="D6" s="523" t="s">
        <v>204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</row>
    <row r="7" spans="1:16" s="182" customFormat="1" ht="16.5">
      <c r="A7" s="519" t="s">
        <v>13</v>
      </c>
      <c r="B7" s="519"/>
      <c r="C7" s="519"/>
      <c r="D7" s="523" t="s">
        <v>201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</row>
    <row r="8" spans="1:16" s="182" customFormat="1" ht="16.5" customHeight="1">
      <c r="A8" s="519" t="s">
        <v>14</v>
      </c>
      <c r="B8" s="519"/>
      <c r="C8" s="519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182" customFormat="1" ht="15.75" customHeight="1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</row>
    <row r="10" spans="1:16" s="16" customFormat="1" ht="14.25" customHeight="1">
      <c r="A10" s="17" t="s">
        <v>372</v>
      </c>
      <c r="B10" s="17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 t="s">
        <v>15</v>
      </c>
      <c r="N10" s="19"/>
      <c r="O10" s="531">
        <f>P96</f>
        <v>0</v>
      </c>
      <c r="P10" s="531"/>
    </row>
    <row r="11" spans="1:16" s="11" customFormat="1" ht="17.25" customHeight="1">
      <c r="A11" s="525" t="s">
        <v>373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s="28" customFormat="1" ht="16.5">
      <c r="A12" s="24"/>
      <c r="B12" s="24"/>
      <c r="C12" s="25"/>
      <c r="D12" s="25"/>
      <c r="E12" s="26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7"/>
    </row>
    <row r="13" spans="1:16" s="112" customFormat="1" ht="12.75">
      <c r="A13" s="534" t="s">
        <v>16</v>
      </c>
      <c r="B13" s="534" t="s">
        <v>17</v>
      </c>
      <c r="C13" s="538" t="s">
        <v>18</v>
      </c>
      <c r="D13" s="534" t="s">
        <v>19</v>
      </c>
      <c r="E13" s="534" t="s">
        <v>20</v>
      </c>
      <c r="F13" s="534" t="s">
        <v>21</v>
      </c>
      <c r="G13" s="534"/>
      <c r="H13" s="534"/>
      <c r="I13" s="534"/>
      <c r="J13" s="534"/>
      <c r="K13" s="534"/>
      <c r="L13" s="534" t="s">
        <v>22</v>
      </c>
      <c r="M13" s="534"/>
      <c r="N13" s="534"/>
      <c r="O13" s="534"/>
      <c r="P13" s="534"/>
    </row>
    <row r="14" spans="1:16" s="112" customFormat="1" ht="63.75">
      <c r="A14" s="534"/>
      <c r="B14" s="534"/>
      <c r="C14" s="538"/>
      <c r="D14" s="534"/>
      <c r="E14" s="534"/>
      <c r="F14" s="110" t="s">
        <v>23</v>
      </c>
      <c r="G14" s="110" t="s">
        <v>24</v>
      </c>
      <c r="H14" s="110" t="s">
        <v>25</v>
      </c>
      <c r="I14" s="110" t="s">
        <v>26</v>
      </c>
      <c r="J14" s="110" t="s">
        <v>27</v>
      </c>
      <c r="K14" s="110" t="s">
        <v>28</v>
      </c>
      <c r="L14" s="110" t="s">
        <v>29</v>
      </c>
      <c r="M14" s="110" t="s">
        <v>30</v>
      </c>
      <c r="N14" s="110" t="s">
        <v>31</v>
      </c>
      <c r="O14" s="110" t="s">
        <v>32</v>
      </c>
      <c r="P14" s="110" t="s">
        <v>33</v>
      </c>
    </row>
    <row r="15" spans="1:16" s="112" customFormat="1" ht="12.75">
      <c r="A15" s="340">
        <v>1</v>
      </c>
      <c r="B15" s="340"/>
      <c r="C15" s="341">
        <v>2</v>
      </c>
      <c r="D15" s="340">
        <v>3</v>
      </c>
      <c r="E15" s="340">
        <v>4</v>
      </c>
      <c r="F15" s="340">
        <v>5</v>
      </c>
      <c r="G15" s="340">
        <v>6</v>
      </c>
      <c r="H15" s="340">
        <v>7</v>
      </c>
      <c r="I15" s="340">
        <v>8</v>
      </c>
      <c r="J15" s="340">
        <v>9</v>
      </c>
      <c r="K15" s="340">
        <v>10</v>
      </c>
      <c r="L15" s="340">
        <v>11</v>
      </c>
      <c r="M15" s="340">
        <v>12</v>
      </c>
      <c r="N15" s="340">
        <v>13</v>
      </c>
      <c r="O15" s="340">
        <v>14</v>
      </c>
      <c r="P15" s="340">
        <v>15</v>
      </c>
    </row>
    <row r="16" spans="1:16" s="350" customFormat="1" ht="16.5">
      <c r="A16" s="342"/>
      <c r="B16" s="51"/>
      <c r="C16" s="343" t="s">
        <v>354</v>
      </c>
      <c r="D16" s="344"/>
      <c r="E16" s="345"/>
      <c r="F16" s="346"/>
      <c r="G16" s="346"/>
      <c r="H16" s="347"/>
      <c r="I16" s="348"/>
      <c r="J16" s="348"/>
      <c r="K16" s="348"/>
      <c r="L16" s="349"/>
      <c r="M16" s="348"/>
      <c r="N16" s="348"/>
      <c r="O16" s="348"/>
      <c r="P16" s="348"/>
    </row>
    <row r="17" spans="1:16" s="350" customFormat="1" ht="33">
      <c r="A17" s="342">
        <v>1</v>
      </c>
      <c r="B17" s="51"/>
      <c r="C17" s="351" t="s">
        <v>253</v>
      </c>
      <c r="D17" s="352" t="s">
        <v>254</v>
      </c>
      <c r="E17" s="353">
        <v>627.67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s="350" customFormat="1" ht="18" customHeight="1">
      <c r="A18" s="342">
        <v>2</v>
      </c>
      <c r="B18" s="51"/>
      <c r="C18" s="351" t="s">
        <v>255</v>
      </c>
      <c r="D18" s="352" t="s">
        <v>254</v>
      </c>
      <c r="E18" s="353">
        <v>627.67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s="350" customFormat="1" ht="18">
      <c r="A19" s="342">
        <v>3</v>
      </c>
      <c r="B19" s="51"/>
      <c r="C19" s="351" t="s">
        <v>256</v>
      </c>
      <c r="D19" s="352" t="s">
        <v>254</v>
      </c>
      <c r="E19" s="353">
        <v>627.67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s="350" customFormat="1" ht="18">
      <c r="A20" s="354">
        <v>4</v>
      </c>
      <c r="B20" s="355"/>
      <c r="C20" s="356" t="s">
        <v>257</v>
      </c>
      <c r="D20" s="357" t="s">
        <v>254</v>
      </c>
      <c r="E20" s="353">
        <v>627.67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</row>
    <row r="21" spans="1:16" s="350" customFormat="1" ht="16.5">
      <c r="A21" s="342"/>
      <c r="B21" s="51"/>
      <c r="C21" s="359" t="s">
        <v>268</v>
      </c>
      <c r="D21" s="360"/>
      <c r="E21" s="435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s="350" customFormat="1" ht="33">
      <c r="A22" s="361">
        <v>5</v>
      </c>
      <c r="B22" s="362"/>
      <c r="C22" s="363" t="s">
        <v>253</v>
      </c>
      <c r="D22" s="364" t="s">
        <v>254</v>
      </c>
      <c r="E22" s="365">
        <v>570.82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</row>
    <row r="23" spans="1:16" s="350" customFormat="1" ht="18">
      <c r="A23" s="342">
        <v>6</v>
      </c>
      <c r="B23" s="51"/>
      <c r="C23" s="351" t="s">
        <v>255</v>
      </c>
      <c r="D23" s="352" t="s">
        <v>254</v>
      </c>
      <c r="E23" s="353">
        <f>E22</f>
        <v>570.82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350" customFormat="1" ht="18">
      <c r="A24" s="342">
        <v>7</v>
      </c>
      <c r="B24" s="51"/>
      <c r="C24" s="351" t="s">
        <v>256</v>
      </c>
      <c r="D24" s="352" t="s">
        <v>254</v>
      </c>
      <c r="E24" s="353">
        <f>E22</f>
        <v>570.82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s="350" customFormat="1" ht="18">
      <c r="A25" s="342">
        <v>8</v>
      </c>
      <c r="B25" s="51"/>
      <c r="C25" s="351" t="s">
        <v>257</v>
      </c>
      <c r="D25" s="352" t="s">
        <v>254</v>
      </c>
      <c r="E25" s="353">
        <f>E22</f>
        <v>570.82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 s="350" customFormat="1" ht="16.5">
      <c r="A26" s="342"/>
      <c r="B26" s="51"/>
      <c r="C26" s="343" t="s">
        <v>357</v>
      </c>
      <c r="D26" s="51"/>
      <c r="E26" s="51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</row>
    <row r="27" spans="1:16" s="350" customFormat="1" ht="33">
      <c r="A27" s="342">
        <v>9</v>
      </c>
      <c r="B27" s="51"/>
      <c r="C27" s="351" t="s">
        <v>266</v>
      </c>
      <c r="D27" s="367" t="s">
        <v>254</v>
      </c>
      <c r="E27" s="353">
        <v>334.6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s="350" customFormat="1" ht="18">
      <c r="A28" s="342">
        <v>10</v>
      </c>
      <c r="B28" s="51"/>
      <c r="C28" s="351" t="s">
        <v>259</v>
      </c>
      <c r="D28" s="367" t="s">
        <v>254</v>
      </c>
      <c r="E28" s="353">
        <v>334.6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s="350" customFormat="1" ht="18">
      <c r="A29" s="342">
        <v>11</v>
      </c>
      <c r="B29" s="51"/>
      <c r="C29" s="351" t="s">
        <v>260</v>
      </c>
      <c r="D29" s="367" t="s">
        <v>254</v>
      </c>
      <c r="E29" s="353">
        <v>334.6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s="350" customFormat="1" ht="15.75" customHeight="1">
      <c r="A30" s="354">
        <v>12</v>
      </c>
      <c r="B30" s="355"/>
      <c r="C30" s="356" t="s">
        <v>261</v>
      </c>
      <c r="D30" s="368" t="s">
        <v>254</v>
      </c>
      <c r="E30" s="353">
        <v>334.6</v>
      </c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</row>
    <row r="31" spans="1:16" s="350" customFormat="1" ht="16.5">
      <c r="A31" s="342"/>
      <c r="B31" s="51"/>
      <c r="C31" s="359" t="s">
        <v>267</v>
      </c>
      <c r="D31" s="360"/>
      <c r="E31" s="435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s="350" customFormat="1" ht="18">
      <c r="A32" s="342">
        <v>13</v>
      </c>
      <c r="B32" s="317"/>
      <c r="C32" s="363" t="s">
        <v>258</v>
      </c>
      <c r="D32" s="369" t="s">
        <v>254</v>
      </c>
      <c r="E32" s="365">
        <v>186</v>
      </c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</row>
    <row r="33" spans="1:16" s="350" customFormat="1" ht="18">
      <c r="A33" s="342">
        <v>14</v>
      </c>
      <c r="B33" s="317"/>
      <c r="C33" s="351" t="s">
        <v>259</v>
      </c>
      <c r="D33" s="367" t="s">
        <v>254</v>
      </c>
      <c r="E33" s="353">
        <f>E32</f>
        <v>186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16" s="350" customFormat="1" ht="18">
      <c r="A34" s="342">
        <v>15</v>
      </c>
      <c r="B34" s="317"/>
      <c r="C34" s="351" t="s">
        <v>260</v>
      </c>
      <c r="D34" s="367" t="s">
        <v>254</v>
      </c>
      <c r="E34" s="353">
        <f>E32</f>
        <v>186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s="350" customFormat="1" ht="33">
      <c r="A35" s="354">
        <v>16</v>
      </c>
      <c r="B35" s="459"/>
      <c r="C35" s="356" t="s">
        <v>261</v>
      </c>
      <c r="D35" s="368" t="s">
        <v>254</v>
      </c>
      <c r="E35" s="358">
        <f>E32</f>
        <v>186</v>
      </c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</row>
    <row r="36" spans="1:16" s="350" customFormat="1" ht="16.5">
      <c r="A36" s="436"/>
      <c r="B36" s="381"/>
      <c r="C36" s="477" t="s">
        <v>355</v>
      </c>
      <c r="D36" s="460"/>
      <c r="E36" s="461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</row>
    <row r="37" spans="1:16" s="350" customFormat="1" ht="16.5">
      <c r="A37" s="437"/>
      <c r="B37" s="438"/>
      <c r="C37" s="439" t="s">
        <v>296</v>
      </c>
      <c r="D37" s="440"/>
      <c r="E37" s="441"/>
      <c r="F37" s="442"/>
      <c r="G37" s="442"/>
      <c r="H37" s="443"/>
      <c r="I37" s="444"/>
      <c r="J37" s="445"/>
      <c r="K37" s="446"/>
      <c r="L37" s="447"/>
      <c r="M37" s="446"/>
      <c r="N37" s="446"/>
      <c r="O37" s="446"/>
      <c r="P37" s="446"/>
    </row>
    <row r="38" spans="1:16" s="350" customFormat="1" ht="16.5">
      <c r="A38" s="437">
        <v>17</v>
      </c>
      <c r="B38" s="449"/>
      <c r="C38" s="454" t="s">
        <v>356</v>
      </c>
      <c r="D38" s="463" t="s">
        <v>34</v>
      </c>
      <c r="E38" s="464">
        <v>30.8</v>
      </c>
      <c r="F38" s="442"/>
      <c r="G38" s="442"/>
      <c r="H38" s="443"/>
      <c r="I38" s="444"/>
      <c r="J38" s="465"/>
      <c r="K38" s="447"/>
      <c r="L38" s="447"/>
      <c r="M38" s="447"/>
      <c r="N38" s="446"/>
      <c r="O38" s="446"/>
      <c r="P38" s="446"/>
    </row>
    <row r="39" spans="1:16" s="350" customFormat="1" ht="51">
      <c r="A39" s="437">
        <v>18</v>
      </c>
      <c r="B39" s="417"/>
      <c r="C39" s="448" t="s">
        <v>297</v>
      </c>
      <c r="D39" s="449" t="s">
        <v>34</v>
      </c>
      <c r="E39" s="450">
        <v>30.8</v>
      </c>
      <c r="F39" s="442"/>
      <c r="G39" s="442"/>
      <c r="H39" s="443"/>
      <c r="I39" s="440"/>
      <c r="J39" s="440"/>
      <c r="K39" s="446"/>
      <c r="L39" s="447"/>
      <c r="M39" s="446"/>
      <c r="N39" s="446"/>
      <c r="O39" s="446"/>
      <c r="P39" s="446"/>
    </row>
    <row r="40" spans="1:16" s="350" customFormat="1" ht="16.5">
      <c r="A40" s="437"/>
      <c r="B40" s="438"/>
      <c r="C40" s="451" t="s">
        <v>298</v>
      </c>
      <c r="D40" s="449" t="s">
        <v>44</v>
      </c>
      <c r="E40" s="450">
        <f>E39*0.15</f>
        <v>4.62</v>
      </c>
      <c r="F40" s="440"/>
      <c r="G40" s="440"/>
      <c r="H40" s="443"/>
      <c r="I40" s="440"/>
      <c r="J40" s="440"/>
      <c r="K40" s="446"/>
      <c r="L40" s="447"/>
      <c r="M40" s="446"/>
      <c r="N40" s="446"/>
      <c r="O40" s="446"/>
      <c r="P40" s="446"/>
    </row>
    <row r="41" spans="1:16" s="350" customFormat="1" ht="16.5">
      <c r="A41" s="437"/>
      <c r="B41" s="438"/>
      <c r="C41" s="451" t="s">
        <v>299</v>
      </c>
      <c r="D41" s="449" t="s">
        <v>36</v>
      </c>
      <c r="E41" s="452">
        <f>E39*25</f>
        <v>770</v>
      </c>
      <c r="F41" s="442"/>
      <c r="G41" s="442"/>
      <c r="H41" s="443"/>
      <c r="I41" s="440"/>
      <c r="J41" s="440"/>
      <c r="K41" s="446"/>
      <c r="L41" s="447"/>
      <c r="M41" s="446"/>
      <c r="N41" s="446"/>
      <c r="O41" s="446"/>
      <c r="P41" s="446"/>
    </row>
    <row r="42" spans="1:16" s="350" customFormat="1" ht="16.5">
      <c r="A42" s="437"/>
      <c r="B42" s="453"/>
      <c r="C42" s="451" t="s">
        <v>286</v>
      </c>
      <c r="D42" s="440" t="s">
        <v>287</v>
      </c>
      <c r="E42" s="441">
        <v>1</v>
      </c>
      <c r="F42" s="442"/>
      <c r="G42" s="442"/>
      <c r="H42" s="443"/>
      <c r="I42" s="444"/>
      <c r="J42" s="445"/>
      <c r="K42" s="446"/>
      <c r="L42" s="447"/>
      <c r="M42" s="446"/>
      <c r="N42" s="446"/>
      <c r="O42" s="446"/>
      <c r="P42" s="446"/>
    </row>
    <row r="43" spans="1:16" s="350" customFormat="1" ht="38.25">
      <c r="A43" s="437">
        <v>19</v>
      </c>
      <c r="B43" s="438"/>
      <c r="C43" s="454" t="s">
        <v>336</v>
      </c>
      <c r="D43" s="440" t="s">
        <v>34</v>
      </c>
      <c r="E43" s="441">
        <f>E39</f>
        <v>30.8</v>
      </c>
      <c r="F43" s="442"/>
      <c r="G43" s="442"/>
      <c r="H43" s="443"/>
      <c r="I43" s="440"/>
      <c r="J43" s="440"/>
      <c r="K43" s="446"/>
      <c r="L43" s="447"/>
      <c r="M43" s="446"/>
      <c r="N43" s="446"/>
      <c r="O43" s="446"/>
      <c r="P43" s="446"/>
    </row>
    <row r="44" spans="1:16" s="350" customFormat="1" ht="16.5">
      <c r="A44" s="437"/>
      <c r="B44" s="438"/>
      <c r="C44" s="451" t="s">
        <v>298</v>
      </c>
      <c r="D44" s="440" t="s">
        <v>44</v>
      </c>
      <c r="E44" s="441">
        <f>E43*0.1</f>
        <v>3.08</v>
      </c>
      <c r="F44" s="442"/>
      <c r="G44" s="442"/>
      <c r="H44" s="443"/>
      <c r="I44" s="440"/>
      <c r="J44" s="445"/>
      <c r="K44" s="446"/>
      <c r="L44" s="447"/>
      <c r="M44" s="446"/>
      <c r="N44" s="446"/>
      <c r="O44" s="446"/>
      <c r="P44" s="446"/>
    </row>
    <row r="45" spans="1:16" s="350" customFormat="1" ht="16.5">
      <c r="A45" s="437"/>
      <c r="B45" s="453"/>
      <c r="C45" s="455" t="s">
        <v>337</v>
      </c>
      <c r="D45" s="449" t="s">
        <v>36</v>
      </c>
      <c r="E45" s="450">
        <f>E43*0.7</f>
        <v>21.56</v>
      </c>
      <c r="F45" s="442"/>
      <c r="G45" s="442"/>
      <c r="H45" s="443"/>
      <c r="I45" s="440"/>
      <c r="J45" s="440"/>
      <c r="K45" s="446"/>
      <c r="L45" s="447"/>
      <c r="M45" s="446"/>
      <c r="N45" s="446"/>
      <c r="O45" s="446"/>
      <c r="P45" s="446"/>
    </row>
    <row r="46" spans="1:16" s="350" customFormat="1" ht="25.5">
      <c r="A46" s="437"/>
      <c r="B46" s="453"/>
      <c r="C46" s="451" t="s">
        <v>338</v>
      </c>
      <c r="D46" s="440" t="s">
        <v>44</v>
      </c>
      <c r="E46" s="441">
        <f>E43*0.1</f>
        <v>3.08</v>
      </c>
      <c r="F46" s="442"/>
      <c r="G46" s="442"/>
      <c r="H46" s="443"/>
      <c r="I46" s="444"/>
      <c r="J46" s="445"/>
      <c r="K46" s="446"/>
      <c r="L46" s="447"/>
      <c r="M46" s="446"/>
      <c r="N46" s="446"/>
      <c r="O46" s="446"/>
      <c r="P46" s="446"/>
    </row>
    <row r="47" spans="1:16" s="350" customFormat="1" ht="16.5">
      <c r="A47" s="437"/>
      <c r="B47" s="449"/>
      <c r="C47" s="451" t="s">
        <v>339</v>
      </c>
      <c r="D47" s="449" t="s">
        <v>340</v>
      </c>
      <c r="E47" s="456">
        <f>0.07*E43</f>
        <v>2</v>
      </c>
      <c r="F47" s="446"/>
      <c r="G47" s="442"/>
      <c r="H47" s="443"/>
      <c r="I47" s="444"/>
      <c r="J47" s="445"/>
      <c r="K47" s="446"/>
      <c r="L47" s="447"/>
      <c r="M47" s="446"/>
      <c r="N47" s="446"/>
      <c r="O47" s="446"/>
      <c r="P47" s="446"/>
    </row>
    <row r="48" spans="1:16" s="350" customFormat="1" ht="16.5">
      <c r="A48" s="437"/>
      <c r="B48" s="449"/>
      <c r="C48" s="451" t="s">
        <v>341</v>
      </c>
      <c r="D48" s="449" t="s">
        <v>34</v>
      </c>
      <c r="E48" s="444">
        <f>E43*1.35</f>
        <v>41.58</v>
      </c>
      <c r="F48" s="446"/>
      <c r="G48" s="442"/>
      <c r="H48" s="443"/>
      <c r="I48" s="444"/>
      <c r="J48" s="445"/>
      <c r="K48" s="446"/>
      <c r="L48" s="447"/>
      <c r="M48" s="446"/>
      <c r="N48" s="446"/>
      <c r="O48" s="446"/>
      <c r="P48" s="446"/>
    </row>
    <row r="49" spans="1:16" s="350" customFormat="1" ht="16.5">
      <c r="A49" s="437"/>
      <c r="B49" s="438"/>
      <c r="C49" s="455" t="s">
        <v>342</v>
      </c>
      <c r="D49" s="440" t="s">
        <v>287</v>
      </c>
      <c r="E49" s="441">
        <v>1</v>
      </c>
      <c r="F49" s="442"/>
      <c r="G49" s="442"/>
      <c r="H49" s="443"/>
      <c r="I49" s="444"/>
      <c r="J49" s="445"/>
      <c r="K49" s="446"/>
      <c r="L49" s="447"/>
      <c r="M49" s="446"/>
      <c r="N49" s="446"/>
      <c r="O49" s="446"/>
      <c r="P49" s="446"/>
    </row>
    <row r="50" spans="1:16" s="350" customFormat="1" ht="16.5">
      <c r="A50" s="437">
        <v>20</v>
      </c>
      <c r="B50" s="438"/>
      <c r="C50" s="457" t="s">
        <v>343</v>
      </c>
      <c r="D50" s="440" t="s">
        <v>69</v>
      </c>
      <c r="E50" s="441">
        <f>25.36</f>
        <v>25.36</v>
      </c>
      <c r="F50" s="442"/>
      <c r="G50" s="442"/>
      <c r="H50" s="443"/>
      <c r="I50" s="440"/>
      <c r="J50" s="440"/>
      <c r="K50" s="446"/>
      <c r="L50" s="447"/>
      <c r="M50" s="446"/>
      <c r="N50" s="446"/>
      <c r="O50" s="446"/>
      <c r="P50" s="446"/>
    </row>
    <row r="51" spans="1:16" s="350" customFormat="1" ht="16.5">
      <c r="A51" s="437"/>
      <c r="B51" s="438"/>
      <c r="C51" s="477" t="s">
        <v>358</v>
      </c>
      <c r="D51" s="440"/>
      <c r="E51" s="441"/>
      <c r="F51" s="442"/>
      <c r="G51" s="442"/>
      <c r="H51" s="443"/>
      <c r="I51" s="440"/>
      <c r="J51" s="440"/>
      <c r="K51" s="446"/>
      <c r="L51" s="447"/>
      <c r="M51" s="446"/>
      <c r="N51" s="446"/>
      <c r="O51" s="446"/>
      <c r="P51" s="446"/>
    </row>
    <row r="52" spans="1:16" s="350" customFormat="1" ht="16.5">
      <c r="A52" s="437"/>
      <c r="B52" s="438"/>
      <c r="C52" s="466" t="s">
        <v>269</v>
      </c>
      <c r="D52" s="467"/>
      <c r="E52" s="468"/>
      <c r="F52" s="442"/>
      <c r="G52" s="442"/>
      <c r="H52" s="440"/>
      <c r="I52" s="444"/>
      <c r="J52" s="445"/>
      <c r="K52" s="446"/>
      <c r="L52" s="446"/>
      <c r="M52" s="446"/>
      <c r="N52" s="446"/>
      <c r="O52" s="446"/>
      <c r="P52" s="446"/>
    </row>
    <row r="53" spans="1:16" s="350" customFormat="1" ht="38.25">
      <c r="A53" s="437">
        <v>21</v>
      </c>
      <c r="B53" s="438"/>
      <c r="C53" s="454" t="s">
        <v>361</v>
      </c>
      <c r="D53" s="463" t="s">
        <v>50</v>
      </c>
      <c r="E53" s="464">
        <v>18</v>
      </c>
      <c r="F53" s="442"/>
      <c r="G53" s="442"/>
      <c r="H53" s="443"/>
      <c r="I53" s="440"/>
      <c r="J53" s="440"/>
      <c r="K53" s="446"/>
      <c r="L53" s="447"/>
      <c r="M53" s="447"/>
      <c r="N53" s="446"/>
      <c r="O53" s="446"/>
      <c r="P53" s="446"/>
    </row>
    <row r="54" spans="1:16" s="350" customFormat="1" ht="16.5">
      <c r="A54" s="437">
        <v>22</v>
      </c>
      <c r="B54" s="438"/>
      <c r="C54" s="454" t="s">
        <v>273</v>
      </c>
      <c r="D54" s="463" t="s">
        <v>34</v>
      </c>
      <c r="E54" s="464">
        <v>91.2</v>
      </c>
      <c r="F54" s="442"/>
      <c r="G54" s="442"/>
      <c r="H54" s="443"/>
      <c r="I54" s="444"/>
      <c r="J54" s="465"/>
      <c r="K54" s="447"/>
      <c r="L54" s="447"/>
      <c r="M54" s="447"/>
      <c r="N54" s="446"/>
      <c r="O54" s="446"/>
      <c r="P54" s="446"/>
    </row>
    <row r="55" spans="1:16" s="350" customFormat="1" ht="25.5">
      <c r="A55" s="437">
        <v>23</v>
      </c>
      <c r="B55" s="438"/>
      <c r="C55" s="454" t="s">
        <v>275</v>
      </c>
      <c r="D55" s="440" t="s">
        <v>276</v>
      </c>
      <c r="E55" s="441">
        <v>8</v>
      </c>
      <c r="F55" s="442"/>
      <c r="G55" s="442"/>
      <c r="H55" s="443"/>
      <c r="I55" s="444"/>
      <c r="J55" s="465"/>
      <c r="K55" s="447"/>
      <c r="L55" s="447"/>
      <c r="M55" s="447"/>
      <c r="N55" s="446"/>
      <c r="O55" s="446"/>
      <c r="P55" s="446"/>
    </row>
    <row r="56" spans="1:16" s="350" customFormat="1" ht="25.5">
      <c r="A56" s="437">
        <v>24</v>
      </c>
      <c r="B56" s="438"/>
      <c r="C56" s="469" t="s">
        <v>277</v>
      </c>
      <c r="D56" s="449" t="s">
        <v>50</v>
      </c>
      <c r="E56" s="450">
        <v>21.4</v>
      </c>
      <c r="F56" s="442"/>
      <c r="G56" s="442"/>
      <c r="H56" s="443"/>
      <c r="I56" s="440"/>
      <c r="J56" s="440"/>
      <c r="K56" s="446"/>
      <c r="L56" s="447"/>
      <c r="M56" s="447"/>
      <c r="N56" s="446"/>
      <c r="O56" s="446"/>
      <c r="P56" s="446"/>
    </row>
    <row r="57" spans="1:16" s="350" customFormat="1" ht="25.5">
      <c r="A57" s="437"/>
      <c r="B57" s="438"/>
      <c r="C57" s="455" t="s">
        <v>278</v>
      </c>
      <c r="D57" s="440" t="s">
        <v>100</v>
      </c>
      <c r="E57" s="470">
        <f>E56/8</f>
        <v>2.7</v>
      </c>
      <c r="F57" s="471"/>
      <c r="G57" s="471"/>
      <c r="H57" s="443"/>
      <c r="I57" s="472"/>
      <c r="J57" s="473"/>
      <c r="K57" s="447"/>
      <c r="L57" s="447"/>
      <c r="M57" s="447"/>
      <c r="N57" s="447"/>
      <c r="O57" s="447"/>
      <c r="P57" s="447"/>
    </row>
    <row r="58" spans="1:16" s="350" customFormat="1" ht="16.5">
      <c r="A58" s="437"/>
      <c r="B58" s="438"/>
      <c r="C58" s="466" t="s">
        <v>281</v>
      </c>
      <c r="D58" s="440"/>
      <c r="E58" s="441"/>
      <c r="F58" s="442"/>
      <c r="G58" s="442"/>
      <c r="H58" s="440"/>
      <c r="I58" s="444"/>
      <c r="J58" s="445"/>
      <c r="K58" s="446"/>
      <c r="L58" s="446"/>
      <c r="M58" s="446"/>
      <c r="N58" s="446"/>
      <c r="O58" s="446"/>
      <c r="P58" s="446"/>
    </row>
    <row r="59" spans="1:16" s="350" customFormat="1" ht="16.5">
      <c r="A59" s="437">
        <v>25</v>
      </c>
      <c r="B59" s="438"/>
      <c r="C59" s="474" t="s">
        <v>362</v>
      </c>
      <c r="D59" s="449" t="s">
        <v>34</v>
      </c>
      <c r="E59" s="444">
        <v>114.5</v>
      </c>
      <c r="F59" s="442"/>
      <c r="G59" s="442"/>
      <c r="H59" s="443"/>
      <c r="I59" s="440"/>
      <c r="J59" s="440"/>
      <c r="K59" s="446"/>
      <c r="L59" s="447"/>
      <c r="M59" s="447"/>
      <c r="N59" s="446"/>
      <c r="O59" s="446"/>
      <c r="P59" s="446"/>
    </row>
    <row r="60" spans="1:16" s="350" customFormat="1" ht="25.5">
      <c r="A60" s="437"/>
      <c r="B60" s="438"/>
      <c r="C60" s="451" t="s">
        <v>363</v>
      </c>
      <c r="D60" s="449" t="s">
        <v>36</v>
      </c>
      <c r="E60" s="444">
        <f>E59*3</f>
        <v>343.5</v>
      </c>
      <c r="F60" s="442"/>
      <c r="G60" s="442"/>
      <c r="H60" s="443"/>
      <c r="I60" s="440"/>
      <c r="J60" s="440"/>
      <c r="K60" s="446"/>
      <c r="L60" s="447"/>
      <c r="M60" s="447"/>
      <c r="N60" s="446"/>
      <c r="O60" s="446"/>
      <c r="P60" s="446"/>
    </row>
    <row r="61" spans="1:16" s="350" customFormat="1" ht="38.25">
      <c r="A61" s="437">
        <v>26</v>
      </c>
      <c r="B61" s="438"/>
      <c r="C61" s="474" t="s">
        <v>282</v>
      </c>
      <c r="D61" s="449" t="s">
        <v>34</v>
      </c>
      <c r="E61" s="444">
        <v>114.5</v>
      </c>
      <c r="F61" s="442"/>
      <c r="G61" s="442"/>
      <c r="H61" s="443"/>
      <c r="I61" s="440"/>
      <c r="J61" s="440"/>
      <c r="K61" s="446"/>
      <c r="L61" s="447"/>
      <c r="M61" s="447"/>
      <c r="N61" s="446"/>
      <c r="O61" s="446"/>
      <c r="P61" s="446"/>
    </row>
    <row r="62" spans="1:16" s="350" customFormat="1" ht="16.5">
      <c r="A62" s="437"/>
      <c r="B62" s="438"/>
      <c r="C62" s="451" t="s">
        <v>193</v>
      </c>
      <c r="D62" s="449" t="s">
        <v>44</v>
      </c>
      <c r="E62" s="444">
        <f>E61*0.1</f>
        <v>11.45</v>
      </c>
      <c r="F62" s="442"/>
      <c r="G62" s="442"/>
      <c r="H62" s="443"/>
      <c r="I62" s="440"/>
      <c r="J62" s="440"/>
      <c r="K62" s="446"/>
      <c r="L62" s="447"/>
      <c r="M62" s="447"/>
      <c r="N62" s="446"/>
      <c r="O62" s="446"/>
      <c r="P62" s="446"/>
    </row>
    <row r="63" spans="1:16" s="350" customFormat="1" ht="16.5">
      <c r="A63" s="437"/>
      <c r="B63" s="438"/>
      <c r="C63" s="451" t="s">
        <v>283</v>
      </c>
      <c r="D63" s="449" t="s">
        <v>36</v>
      </c>
      <c r="E63" s="444">
        <f>E61*4</f>
        <v>458</v>
      </c>
      <c r="F63" s="442"/>
      <c r="G63" s="442"/>
      <c r="H63" s="443"/>
      <c r="I63" s="440"/>
      <c r="J63" s="440"/>
      <c r="K63" s="446"/>
      <c r="L63" s="447"/>
      <c r="M63" s="447"/>
      <c r="N63" s="446"/>
      <c r="O63" s="446"/>
      <c r="P63" s="446"/>
    </row>
    <row r="64" spans="1:16" s="350" customFormat="1" ht="16.5">
      <c r="A64" s="437"/>
      <c r="B64" s="438"/>
      <c r="C64" s="451" t="s">
        <v>284</v>
      </c>
      <c r="D64" s="449" t="s">
        <v>36</v>
      </c>
      <c r="E64" s="456">
        <f>E61*1.2</f>
        <v>137</v>
      </c>
      <c r="F64" s="446"/>
      <c r="G64" s="442"/>
      <c r="H64" s="443"/>
      <c r="I64" s="444"/>
      <c r="J64" s="445"/>
      <c r="K64" s="446"/>
      <c r="L64" s="447"/>
      <c r="M64" s="447"/>
      <c r="N64" s="446"/>
      <c r="O64" s="446"/>
      <c r="P64" s="446"/>
    </row>
    <row r="65" spans="1:16" s="350" customFormat="1" ht="16.5">
      <c r="A65" s="437"/>
      <c r="B65" s="438"/>
      <c r="C65" s="451" t="s">
        <v>285</v>
      </c>
      <c r="D65" s="449" t="s">
        <v>36</v>
      </c>
      <c r="E65" s="456">
        <f>E61*0.7</f>
        <v>80</v>
      </c>
      <c r="F65" s="446"/>
      <c r="G65" s="442"/>
      <c r="H65" s="443"/>
      <c r="I65" s="444"/>
      <c r="J65" s="445"/>
      <c r="K65" s="446"/>
      <c r="L65" s="447"/>
      <c r="M65" s="446"/>
      <c r="N65" s="446"/>
      <c r="O65" s="446"/>
      <c r="P65" s="446"/>
    </row>
    <row r="66" spans="1:16" s="350" customFormat="1" ht="16.5">
      <c r="A66" s="437"/>
      <c r="B66" s="438"/>
      <c r="C66" s="451" t="s">
        <v>286</v>
      </c>
      <c r="D66" s="449" t="s">
        <v>287</v>
      </c>
      <c r="E66" s="456">
        <v>1</v>
      </c>
      <c r="F66" s="446"/>
      <c r="G66" s="442"/>
      <c r="H66" s="443"/>
      <c r="I66" s="444"/>
      <c r="J66" s="445"/>
      <c r="K66" s="446"/>
      <c r="L66" s="447"/>
      <c r="M66" s="446"/>
      <c r="N66" s="446"/>
      <c r="O66" s="446"/>
      <c r="P66" s="446"/>
    </row>
    <row r="67" spans="1:16" s="350" customFormat="1" ht="25.5">
      <c r="A67" s="437">
        <v>27</v>
      </c>
      <c r="B67" s="438"/>
      <c r="C67" s="474" t="s">
        <v>288</v>
      </c>
      <c r="D67" s="449" t="s">
        <v>34</v>
      </c>
      <c r="E67" s="475">
        <f>E61</f>
        <v>114.5</v>
      </c>
      <c r="F67" s="442"/>
      <c r="G67" s="442"/>
      <c r="H67" s="443"/>
      <c r="I67" s="440"/>
      <c r="J67" s="440"/>
      <c r="K67" s="446"/>
      <c r="L67" s="447"/>
      <c r="M67" s="446"/>
      <c r="N67" s="446"/>
      <c r="O67" s="446"/>
      <c r="P67" s="446"/>
    </row>
    <row r="68" spans="1:16" s="350" customFormat="1" ht="16.5">
      <c r="A68" s="437"/>
      <c r="B68" s="438"/>
      <c r="C68" s="451" t="s">
        <v>289</v>
      </c>
      <c r="D68" s="449" t="s">
        <v>44</v>
      </c>
      <c r="E68" s="456">
        <f>E67*0.15</f>
        <v>17</v>
      </c>
      <c r="F68" s="442"/>
      <c r="G68" s="442"/>
      <c r="H68" s="443"/>
      <c r="I68" s="440"/>
      <c r="J68" s="440"/>
      <c r="K68" s="446"/>
      <c r="L68" s="447"/>
      <c r="M68" s="446"/>
      <c r="N68" s="446"/>
      <c r="O68" s="446"/>
      <c r="P68" s="446"/>
    </row>
    <row r="69" spans="1:16" s="350" customFormat="1" ht="16.5">
      <c r="A69" s="437"/>
      <c r="B69" s="438"/>
      <c r="C69" s="451" t="s">
        <v>290</v>
      </c>
      <c r="D69" s="449" t="s">
        <v>44</v>
      </c>
      <c r="E69" s="456">
        <f>E67*0.25</f>
        <v>29</v>
      </c>
      <c r="F69" s="446"/>
      <c r="G69" s="442"/>
      <c r="H69" s="443"/>
      <c r="I69" s="444"/>
      <c r="J69" s="445"/>
      <c r="K69" s="446"/>
      <c r="L69" s="447"/>
      <c r="M69" s="446"/>
      <c r="N69" s="446"/>
      <c r="O69" s="446"/>
      <c r="P69" s="446"/>
    </row>
    <row r="70" spans="1:16" s="350" customFormat="1" ht="16.5">
      <c r="A70" s="437"/>
      <c r="B70" s="438"/>
      <c r="C70" s="451" t="s">
        <v>286</v>
      </c>
      <c r="D70" s="449" t="s">
        <v>287</v>
      </c>
      <c r="E70" s="456">
        <v>1</v>
      </c>
      <c r="F70" s="446"/>
      <c r="G70" s="442"/>
      <c r="H70" s="443"/>
      <c r="I70" s="444"/>
      <c r="J70" s="445"/>
      <c r="K70" s="446"/>
      <c r="L70" s="447"/>
      <c r="M70" s="446"/>
      <c r="N70" s="446"/>
      <c r="O70" s="446"/>
      <c r="P70" s="446"/>
    </row>
    <row r="71" spans="1:16" s="350" customFormat="1" ht="16.5">
      <c r="A71" s="437"/>
      <c r="B71" s="438"/>
      <c r="C71" s="439" t="s">
        <v>296</v>
      </c>
      <c r="D71" s="440"/>
      <c r="E71" s="441"/>
      <c r="F71" s="442"/>
      <c r="G71" s="442"/>
      <c r="H71" s="440"/>
      <c r="I71" s="444"/>
      <c r="J71" s="445"/>
      <c r="K71" s="446"/>
      <c r="L71" s="446"/>
      <c r="M71" s="446"/>
      <c r="N71" s="446"/>
      <c r="O71" s="446"/>
      <c r="P71" s="446"/>
    </row>
    <row r="72" spans="1:16" s="350" customFormat="1" ht="51">
      <c r="A72" s="437">
        <v>28</v>
      </c>
      <c r="B72" s="438"/>
      <c r="C72" s="448" t="s">
        <v>297</v>
      </c>
      <c r="D72" s="449" t="s">
        <v>34</v>
      </c>
      <c r="E72" s="450">
        <v>91.2</v>
      </c>
      <c r="F72" s="442"/>
      <c r="G72" s="442"/>
      <c r="H72" s="443"/>
      <c r="I72" s="440"/>
      <c r="J72" s="440"/>
      <c r="K72" s="446"/>
      <c r="L72" s="447"/>
      <c r="M72" s="446"/>
      <c r="N72" s="446"/>
      <c r="O72" s="446"/>
      <c r="P72" s="446"/>
    </row>
    <row r="73" spans="1:16" s="350" customFormat="1" ht="17.25" customHeight="1">
      <c r="A73" s="437"/>
      <c r="B73" s="438"/>
      <c r="C73" s="451" t="s">
        <v>298</v>
      </c>
      <c r="D73" s="449" t="s">
        <v>44</v>
      </c>
      <c r="E73" s="450">
        <f>E72*0.15</f>
        <v>13.68</v>
      </c>
      <c r="F73" s="440"/>
      <c r="G73" s="440"/>
      <c r="H73" s="443"/>
      <c r="I73" s="440"/>
      <c r="J73" s="440"/>
      <c r="K73" s="446"/>
      <c r="L73" s="447"/>
      <c r="M73" s="446"/>
      <c r="N73" s="446"/>
      <c r="O73" s="446"/>
      <c r="P73" s="446"/>
    </row>
    <row r="74" spans="1:16" s="350" customFormat="1" ht="16.5">
      <c r="A74" s="437"/>
      <c r="B74" s="438"/>
      <c r="C74" s="451" t="s">
        <v>299</v>
      </c>
      <c r="D74" s="449" t="s">
        <v>36</v>
      </c>
      <c r="E74" s="452">
        <f>E72*25</f>
        <v>2280</v>
      </c>
      <c r="F74" s="442"/>
      <c r="G74" s="442"/>
      <c r="H74" s="443"/>
      <c r="I74" s="440"/>
      <c r="J74" s="440"/>
      <c r="K74" s="446"/>
      <c r="L74" s="447"/>
      <c r="M74" s="446"/>
      <c r="N74" s="446"/>
      <c r="O74" s="446"/>
      <c r="P74" s="446"/>
    </row>
    <row r="75" spans="1:16" s="350" customFormat="1" ht="16.5">
      <c r="A75" s="437"/>
      <c r="B75" s="438"/>
      <c r="C75" s="451" t="s">
        <v>286</v>
      </c>
      <c r="D75" s="440" t="s">
        <v>287</v>
      </c>
      <c r="E75" s="441">
        <v>1</v>
      </c>
      <c r="F75" s="442"/>
      <c r="G75" s="442"/>
      <c r="H75" s="443"/>
      <c r="I75" s="444"/>
      <c r="J75" s="445"/>
      <c r="K75" s="446"/>
      <c r="L75" s="447"/>
      <c r="M75" s="446"/>
      <c r="N75" s="446"/>
      <c r="O75" s="446"/>
      <c r="P75" s="446"/>
    </row>
    <row r="76" spans="1:16" s="350" customFormat="1" ht="16.5">
      <c r="A76" s="437">
        <v>29</v>
      </c>
      <c r="B76" s="438"/>
      <c r="C76" s="454" t="s">
        <v>300</v>
      </c>
      <c r="D76" s="449" t="s">
        <v>34</v>
      </c>
      <c r="E76" s="450">
        <f>E72</f>
        <v>91.2</v>
      </c>
      <c r="F76" s="442"/>
      <c r="G76" s="442"/>
      <c r="H76" s="443"/>
      <c r="I76" s="440"/>
      <c r="J76" s="440"/>
      <c r="K76" s="446"/>
      <c r="L76" s="447"/>
      <c r="M76" s="446"/>
      <c r="N76" s="446"/>
      <c r="O76" s="446"/>
      <c r="P76" s="446"/>
    </row>
    <row r="77" spans="1:16" s="350" customFormat="1" ht="16.5">
      <c r="A77" s="437"/>
      <c r="B77" s="438"/>
      <c r="C77" s="451" t="s">
        <v>141</v>
      </c>
      <c r="D77" s="449" t="s">
        <v>44</v>
      </c>
      <c r="E77" s="450">
        <f>E76*0.1</f>
        <v>9.12</v>
      </c>
      <c r="F77" s="442"/>
      <c r="G77" s="442"/>
      <c r="H77" s="440"/>
      <c r="I77" s="440"/>
      <c r="J77" s="440"/>
      <c r="K77" s="446"/>
      <c r="L77" s="446"/>
      <c r="M77" s="446"/>
      <c r="N77" s="446"/>
      <c r="O77" s="446"/>
      <c r="P77" s="446"/>
    </row>
    <row r="78" spans="1:16" s="350" customFormat="1" ht="16.5">
      <c r="A78" s="437"/>
      <c r="B78" s="438"/>
      <c r="C78" s="451" t="s">
        <v>292</v>
      </c>
      <c r="D78" s="449" t="s">
        <v>36</v>
      </c>
      <c r="E78" s="450">
        <f>E76*4</f>
        <v>364.8</v>
      </c>
      <c r="F78" s="442"/>
      <c r="G78" s="442"/>
      <c r="H78" s="440"/>
      <c r="I78" s="440"/>
      <c r="J78" s="440"/>
      <c r="K78" s="446"/>
      <c r="L78" s="446"/>
      <c r="M78" s="446"/>
      <c r="N78" s="446"/>
      <c r="O78" s="446"/>
      <c r="P78" s="446"/>
    </row>
    <row r="79" spans="1:16" s="350" customFormat="1" ht="16.5">
      <c r="A79" s="437"/>
      <c r="B79" s="438"/>
      <c r="C79" s="451" t="s">
        <v>293</v>
      </c>
      <c r="D79" s="449" t="s">
        <v>36</v>
      </c>
      <c r="E79" s="450">
        <f>E76*0.3</f>
        <v>27.36</v>
      </c>
      <c r="F79" s="442"/>
      <c r="G79" s="442"/>
      <c r="H79" s="440"/>
      <c r="I79" s="440"/>
      <c r="J79" s="440"/>
      <c r="K79" s="446"/>
      <c r="L79" s="446"/>
      <c r="M79" s="446"/>
      <c r="N79" s="446"/>
      <c r="O79" s="446"/>
      <c r="P79" s="446"/>
    </row>
    <row r="80" spans="1:16" s="350" customFormat="1" ht="25.5">
      <c r="A80" s="437"/>
      <c r="B80" s="438"/>
      <c r="C80" s="451" t="s">
        <v>301</v>
      </c>
      <c r="D80" s="449" t="s">
        <v>34</v>
      </c>
      <c r="E80" s="450">
        <f>E76*1.2</f>
        <v>109.44</v>
      </c>
      <c r="F80" s="446"/>
      <c r="G80" s="442"/>
      <c r="H80" s="440"/>
      <c r="I80" s="440"/>
      <c r="J80" s="440"/>
      <c r="K80" s="446"/>
      <c r="L80" s="446"/>
      <c r="M80" s="446"/>
      <c r="N80" s="446"/>
      <c r="O80" s="446"/>
      <c r="P80" s="446"/>
    </row>
    <row r="81" spans="1:16" s="350" customFormat="1" ht="16.5">
      <c r="A81" s="437"/>
      <c r="B81" s="438"/>
      <c r="C81" s="451" t="s">
        <v>295</v>
      </c>
      <c r="D81" s="449" t="s">
        <v>287</v>
      </c>
      <c r="E81" s="450">
        <v>1</v>
      </c>
      <c r="F81" s="446"/>
      <c r="G81" s="442"/>
      <c r="H81" s="440"/>
      <c r="I81" s="440"/>
      <c r="J81" s="440"/>
      <c r="K81" s="446"/>
      <c r="L81" s="446"/>
      <c r="M81" s="446"/>
      <c r="N81" s="446"/>
      <c r="O81" s="446"/>
      <c r="P81" s="446"/>
    </row>
    <row r="82" spans="1:16" s="350" customFormat="1" ht="16.5">
      <c r="A82" s="437"/>
      <c r="B82" s="438"/>
      <c r="C82" s="439" t="s">
        <v>302</v>
      </c>
      <c r="D82" s="440"/>
      <c r="E82" s="441"/>
      <c r="F82" s="442"/>
      <c r="G82" s="442"/>
      <c r="H82" s="440"/>
      <c r="I82" s="444"/>
      <c r="J82" s="445"/>
      <c r="K82" s="446"/>
      <c r="L82" s="446"/>
      <c r="M82" s="446"/>
      <c r="N82" s="446"/>
      <c r="O82" s="446"/>
      <c r="P82" s="446"/>
    </row>
    <row r="83" spans="1:16" s="350" customFormat="1" ht="25.5">
      <c r="A83" s="437">
        <v>30</v>
      </c>
      <c r="B83" s="438"/>
      <c r="C83" s="454" t="s">
        <v>359</v>
      </c>
      <c r="D83" s="440" t="s">
        <v>34</v>
      </c>
      <c r="E83" s="441">
        <v>91.2</v>
      </c>
      <c r="F83" s="442"/>
      <c r="G83" s="442"/>
      <c r="H83" s="443"/>
      <c r="I83" s="440"/>
      <c r="J83" s="440"/>
      <c r="K83" s="446"/>
      <c r="L83" s="447"/>
      <c r="M83" s="446"/>
      <c r="N83" s="446"/>
      <c r="O83" s="446"/>
      <c r="P83" s="446"/>
    </row>
    <row r="84" spans="1:16" s="350" customFormat="1" ht="16.5">
      <c r="A84" s="437"/>
      <c r="B84" s="438"/>
      <c r="C84" s="451" t="s">
        <v>304</v>
      </c>
      <c r="D84" s="440" t="s">
        <v>34</v>
      </c>
      <c r="E84" s="441">
        <f>E83</f>
        <v>91.2</v>
      </c>
      <c r="F84" s="442"/>
      <c r="G84" s="442"/>
      <c r="H84" s="443"/>
      <c r="I84" s="440"/>
      <c r="J84" s="440"/>
      <c r="K84" s="446"/>
      <c r="L84" s="447"/>
      <c r="M84" s="446"/>
      <c r="N84" s="446"/>
      <c r="O84" s="446"/>
      <c r="P84" s="446"/>
    </row>
    <row r="85" spans="1:16" s="350" customFormat="1" ht="16.5">
      <c r="A85" s="437"/>
      <c r="B85" s="438"/>
      <c r="C85" s="451" t="s">
        <v>305</v>
      </c>
      <c r="D85" s="440" t="s">
        <v>34</v>
      </c>
      <c r="E85" s="441">
        <f>E83*1.15</f>
        <v>104.88</v>
      </c>
      <c r="F85" s="442"/>
      <c r="G85" s="442"/>
      <c r="H85" s="443"/>
      <c r="I85" s="440"/>
      <c r="J85" s="440"/>
      <c r="K85" s="446"/>
      <c r="L85" s="447"/>
      <c r="M85" s="446"/>
      <c r="N85" s="446"/>
      <c r="O85" s="446"/>
      <c r="P85" s="446"/>
    </row>
    <row r="86" spans="1:16" s="350" customFormat="1" ht="16.5">
      <c r="A86" s="437"/>
      <c r="B86" s="438"/>
      <c r="C86" s="451" t="s">
        <v>286</v>
      </c>
      <c r="D86" s="449" t="s">
        <v>287</v>
      </c>
      <c r="E86" s="456">
        <v>1</v>
      </c>
      <c r="F86" s="446"/>
      <c r="G86" s="442"/>
      <c r="H86" s="443"/>
      <c r="I86" s="444"/>
      <c r="J86" s="445"/>
      <c r="K86" s="446"/>
      <c r="L86" s="447"/>
      <c r="M86" s="446"/>
      <c r="N86" s="446"/>
      <c r="O86" s="446"/>
      <c r="P86" s="446"/>
    </row>
    <row r="87" spans="1:16" s="350" customFormat="1" ht="16.5">
      <c r="A87" s="437"/>
      <c r="B87" s="438"/>
      <c r="C87" s="439" t="s">
        <v>0</v>
      </c>
      <c r="D87" s="440"/>
      <c r="E87" s="441"/>
      <c r="F87" s="442"/>
      <c r="G87" s="442"/>
      <c r="H87" s="440"/>
      <c r="I87" s="440"/>
      <c r="J87" s="440"/>
      <c r="K87" s="446"/>
      <c r="L87" s="446"/>
      <c r="M87" s="446"/>
      <c r="N87" s="446"/>
      <c r="O87" s="446"/>
      <c r="P87" s="446"/>
    </row>
    <row r="88" spans="1:16" s="350" customFormat="1" ht="16.5">
      <c r="A88" s="437">
        <v>31</v>
      </c>
      <c r="B88" s="438"/>
      <c r="C88" s="474" t="s">
        <v>360</v>
      </c>
      <c r="D88" s="449" t="s">
        <v>272</v>
      </c>
      <c r="E88" s="456">
        <v>1</v>
      </c>
      <c r="F88" s="442"/>
      <c r="G88" s="442"/>
      <c r="H88" s="443"/>
      <c r="I88" s="440"/>
      <c r="J88" s="440"/>
      <c r="K88" s="446"/>
      <c r="L88" s="447"/>
      <c r="M88" s="446"/>
      <c r="N88" s="446"/>
      <c r="O88" s="446"/>
      <c r="P88" s="446"/>
    </row>
    <row r="89" spans="1:16" s="350" customFormat="1" ht="16.5">
      <c r="A89" s="437"/>
      <c r="B89" s="438"/>
      <c r="C89" s="439" t="s">
        <v>309</v>
      </c>
      <c r="D89" s="440"/>
      <c r="E89" s="441"/>
      <c r="F89" s="442"/>
      <c r="G89" s="442"/>
      <c r="H89" s="440"/>
      <c r="I89" s="444"/>
      <c r="J89" s="445"/>
      <c r="K89" s="446"/>
      <c r="L89" s="446"/>
      <c r="M89" s="446"/>
      <c r="N89" s="446"/>
      <c r="O89" s="446"/>
      <c r="P89" s="446"/>
    </row>
    <row r="90" spans="1:16" s="350" customFormat="1" ht="38.25">
      <c r="A90" s="437">
        <v>32</v>
      </c>
      <c r="B90" s="438"/>
      <c r="C90" s="454" t="s">
        <v>310</v>
      </c>
      <c r="D90" s="440" t="s">
        <v>287</v>
      </c>
      <c r="E90" s="476">
        <v>1</v>
      </c>
      <c r="F90" s="442"/>
      <c r="G90" s="442"/>
      <c r="H90" s="443"/>
      <c r="I90" s="440"/>
      <c r="J90" s="440"/>
      <c r="K90" s="446"/>
      <c r="L90" s="447"/>
      <c r="M90" s="446"/>
      <c r="N90" s="446"/>
      <c r="O90" s="446"/>
      <c r="P90" s="446"/>
    </row>
    <row r="91" spans="1:16" s="350" customFormat="1" ht="16.5">
      <c r="A91" s="437"/>
      <c r="B91" s="438"/>
      <c r="C91" s="439" t="s">
        <v>311</v>
      </c>
      <c r="D91" s="440"/>
      <c r="E91" s="476"/>
      <c r="F91" s="442"/>
      <c r="G91" s="442"/>
      <c r="H91" s="443"/>
      <c r="I91" s="440"/>
      <c r="J91" s="440"/>
      <c r="K91" s="446"/>
      <c r="L91" s="447"/>
      <c r="M91" s="446"/>
      <c r="N91" s="446"/>
      <c r="O91" s="446"/>
      <c r="P91" s="446"/>
    </row>
    <row r="92" spans="1:16" s="350" customFormat="1" ht="25.5">
      <c r="A92" s="437">
        <v>33</v>
      </c>
      <c r="B92" s="438"/>
      <c r="C92" s="474" t="s">
        <v>312</v>
      </c>
      <c r="D92" s="440" t="s">
        <v>287</v>
      </c>
      <c r="E92" s="476">
        <v>1</v>
      </c>
      <c r="F92" s="442"/>
      <c r="G92" s="442"/>
      <c r="H92" s="443"/>
      <c r="I92" s="440"/>
      <c r="J92" s="440"/>
      <c r="K92" s="446"/>
      <c r="L92" s="447"/>
      <c r="M92" s="446"/>
      <c r="N92" s="446"/>
      <c r="O92" s="446"/>
      <c r="P92" s="446"/>
    </row>
    <row r="93" spans="1:16" s="350" customFormat="1" ht="16.5">
      <c r="A93" s="436"/>
      <c r="B93" s="381"/>
      <c r="C93" s="478"/>
      <c r="D93" s="460"/>
      <c r="E93" s="461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</row>
    <row r="94" spans="1:18" s="116" customFormat="1" ht="16.5">
      <c r="A94" s="479"/>
      <c r="B94" s="480"/>
      <c r="C94" s="481" t="s">
        <v>53</v>
      </c>
      <c r="D94" s="480" t="s">
        <v>54</v>
      </c>
      <c r="E94" s="480"/>
      <c r="F94" s="480"/>
      <c r="G94" s="482"/>
      <c r="H94" s="458"/>
      <c r="I94" s="482"/>
      <c r="J94" s="482"/>
      <c r="K94" s="482"/>
      <c r="L94" s="483">
        <f>SUM(L17:L93)</f>
        <v>0</v>
      </c>
      <c r="M94" s="483">
        <f>SUM(M17:M93)</f>
        <v>0</v>
      </c>
      <c r="N94" s="483">
        <f>SUM(N17:N93)</f>
        <v>0</v>
      </c>
      <c r="O94" s="483">
        <f>SUM(O17:O93)</f>
        <v>0</v>
      </c>
      <c r="P94" s="483">
        <f>SUM(P17:P93)</f>
        <v>0</v>
      </c>
      <c r="R94" s="303"/>
    </row>
    <row r="95" spans="1:18" s="28" customFormat="1" ht="16.5">
      <c r="A95" s="542" t="s">
        <v>217</v>
      </c>
      <c r="B95" s="542"/>
      <c r="C95" s="542"/>
      <c r="D95" s="542"/>
      <c r="E95" s="542"/>
      <c r="F95" s="542"/>
      <c r="G95" s="542"/>
      <c r="H95" s="542"/>
      <c r="I95" s="542"/>
      <c r="J95" s="542"/>
      <c r="K95" s="542"/>
      <c r="L95" s="484"/>
      <c r="M95" s="484"/>
      <c r="N95" s="484">
        <f>ROUND(N94*0.03,2)</f>
        <v>0</v>
      </c>
      <c r="O95" s="484"/>
      <c r="P95" s="485">
        <f>SUM(M95:O95)</f>
        <v>0</v>
      </c>
      <c r="R95" s="303"/>
    </row>
    <row r="96" spans="1:18" s="74" customFormat="1" ht="17.25" thickBot="1">
      <c r="A96" s="541" t="s">
        <v>56</v>
      </c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486">
        <f>SUM(L94:L95)</f>
        <v>0</v>
      </c>
      <c r="M96" s="486">
        <f>SUM(M94:M95)</f>
        <v>0</v>
      </c>
      <c r="N96" s="486">
        <f>SUM(N94:N95)</f>
        <v>0</v>
      </c>
      <c r="O96" s="486">
        <f>SUM(O94:O95)</f>
        <v>0</v>
      </c>
      <c r="P96" s="487">
        <f>SUM(M96:O96)</f>
        <v>0</v>
      </c>
      <c r="R96" s="303"/>
    </row>
    <row r="97" spans="1:15" s="78" customFormat="1" ht="16.5">
      <c r="A97" s="521"/>
      <c r="B97" s="521"/>
      <c r="C97" s="521"/>
      <c r="D97" s="79"/>
      <c r="E97" s="79"/>
      <c r="F97" s="79"/>
      <c r="G97" s="79"/>
      <c r="H97" s="76"/>
      <c r="I97" s="522"/>
      <c r="J97" s="522"/>
      <c r="K97" s="522"/>
      <c r="L97" s="522"/>
      <c r="M97" s="522"/>
      <c r="N97" s="522"/>
      <c r="O97" s="522"/>
    </row>
    <row r="98" spans="1:16" s="80" customFormat="1" ht="16.5">
      <c r="A98" s="490" t="s">
        <v>82</v>
      </c>
      <c r="B98" s="490"/>
      <c r="C98" s="144"/>
      <c r="D98" s="145"/>
      <c r="E98" s="175"/>
      <c r="F98" s="175"/>
      <c r="G98" s="175"/>
      <c r="H98" s="175"/>
      <c r="I98" s="78"/>
      <c r="J98" s="78"/>
      <c r="K98" s="78"/>
      <c r="L98" s="78"/>
      <c r="M98" s="78"/>
      <c r="N98" s="78"/>
      <c r="O98" s="78"/>
      <c r="P98" s="78"/>
    </row>
    <row r="99" spans="1:16" s="80" customFormat="1" ht="16.5">
      <c r="A99" s="146"/>
      <c r="B99" s="146"/>
      <c r="C99" s="147" t="s">
        <v>83</v>
      </c>
      <c r="D99" s="148"/>
      <c r="E99" s="150"/>
      <c r="F99" s="150"/>
      <c r="G99" s="150"/>
      <c r="H99" s="150"/>
      <c r="I99" s="219"/>
      <c r="J99" s="219"/>
      <c r="K99" s="219"/>
      <c r="L99" s="219"/>
      <c r="M99" s="219"/>
      <c r="N99" s="219"/>
      <c r="O99" s="219"/>
      <c r="P99" s="78"/>
    </row>
    <row r="100" spans="1:16" ht="18" customHeight="1">
      <c r="A100" s="490" t="s">
        <v>84</v>
      </c>
      <c r="B100" s="490"/>
      <c r="C100" s="144"/>
      <c r="D100" s="145"/>
      <c r="E100" s="150"/>
      <c r="F100" s="150"/>
      <c r="G100" s="150"/>
      <c r="H100" s="150"/>
      <c r="I100" s="217"/>
      <c r="J100" s="217"/>
      <c r="K100" s="217"/>
      <c r="L100" s="217"/>
      <c r="M100" s="217"/>
      <c r="N100" s="217"/>
      <c r="O100" s="217"/>
      <c r="P100" s="217"/>
    </row>
    <row r="101" ht="0.75" customHeight="1"/>
  </sheetData>
  <sheetProtection/>
  <mergeCells count="25">
    <mergeCell ref="A7:C7"/>
    <mergeCell ref="A1:P1"/>
    <mergeCell ref="A2:P2"/>
    <mergeCell ref="A3:P3"/>
    <mergeCell ref="A5:C5"/>
    <mergeCell ref="D5:P5"/>
    <mergeCell ref="A6:C6"/>
    <mergeCell ref="D6:P6"/>
    <mergeCell ref="A97:C97"/>
    <mergeCell ref="I97:O97"/>
    <mergeCell ref="A11:P11"/>
    <mergeCell ref="A13:A14"/>
    <mergeCell ref="B13:B14"/>
    <mergeCell ref="C13:C14"/>
    <mergeCell ref="D13:D14"/>
    <mergeCell ref="A96:K96"/>
    <mergeCell ref="E13:E14"/>
    <mergeCell ref="F13:K13"/>
    <mergeCell ref="L13:P13"/>
    <mergeCell ref="A95:K95"/>
    <mergeCell ref="D7:P7"/>
    <mergeCell ref="A8:C8"/>
    <mergeCell ref="D8:P8"/>
    <mergeCell ref="A9:P9"/>
    <mergeCell ref="O10:P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2013-09-12T10:24:05Z</cp:lastPrinted>
  <dcterms:created xsi:type="dcterms:W3CDTF">2011-05-16T09:43:24Z</dcterms:created>
  <dcterms:modified xsi:type="dcterms:W3CDTF">2013-10-03T05:36:13Z</dcterms:modified>
  <cp:category/>
  <cp:version/>
  <cp:contentType/>
  <cp:contentStatus/>
</cp:coreProperties>
</file>