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1640" tabRatio="880" activeTab="7"/>
  </bookViews>
  <sheets>
    <sheet name="kopt" sheetId="1" r:id="rId1"/>
    <sheet name="kops" sheetId="2" r:id="rId2"/>
    <sheet name="fasade" sheetId="3" r:id="rId3"/>
    <sheet name="jumts" sheetId="4" r:id="rId4"/>
    <sheet name="logi" sheetId="5" r:id="rId5"/>
    <sheet name="EL" sheetId="6" r:id="rId6"/>
    <sheet name="ventil" sheetId="7" r:id="rId7"/>
    <sheet name="apkure" sheetId="8" r:id="rId8"/>
  </sheets>
  <definedNames>
    <definedName name="_xlnm.Print_Area" localSheetId="7">'apkure'!$A$1:$P$27</definedName>
    <definedName name="_xlnm.Print_Area" localSheetId="5">'EL'!$A$1:$P$49</definedName>
    <definedName name="_xlnm.Print_Area" localSheetId="6">'ventil'!$A$1:$P$133</definedName>
    <definedName name="_xlnm.Print_Titles" localSheetId="2">'fasade'!$15:$17</definedName>
    <definedName name="_xlnm.Print_Titles" localSheetId="3">'jumts'!$14:$16</definedName>
    <definedName name="_xlnm.Print_Titles" localSheetId="4">'logi'!$14:$16</definedName>
    <definedName name="_xlnm.Print_Titles" localSheetId="6">'ventil'!$15:$17</definedName>
  </definedNames>
  <calcPr fullCalcOnLoad="1"/>
</workbook>
</file>

<file path=xl/sharedStrings.xml><?xml version="1.0" encoding="utf-8"?>
<sst xmlns="http://schemas.openxmlformats.org/spreadsheetml/2006/main" count="964" uniqueCount="361">
  <si>
    <t>Lokāla tāme 3</t>
  </si>
  <si>
    <t>FASĀDE</t>
  </si>
  <si>
    <t>(darba veids vai konstruktīvā nosaukums)</t>
  </si>
  <si>
    <t>Būves nosaukums:</t>
  </si>
  <si>
    <t>Objekta nosaukums:</t>
  </si>
  <si>
    <t>Būves adrese:</t>
  </si>
  <si>
    <t>Pasūtījuma Nr.:</t>
  </si>
  <si>
    <t>Tāmes izmaksas</t>
  </si>
  <si>
    <t>Nr.p.k.</t>
  </si>
  <si>
    <t>Kods</t>
  </si>
  <si>
    <t>Darba nosaukums</t>
  </si>
  <si>
    <t>Mēra vien.</t>
  </si>
  <si>
    <t>Daudz.</t>
  </si>
  <si>
    <t>Vienības izmaksas</t>
  </si>
  <si>
    <t>laika norma (c/h)</t>
  </si>
  <si>
    <t>darba samaksas likme               (Ls/h)</t>
  </si>
  <si>
    <t>darbietilpība             (c/h)</t>
  </si>
  <si>
    <t>m2</t>
  </si>
  <si>
    <t>Metāla inventārsastatņu lietošana fasāžu apdares darbos (noma), sastatņu izbūve un nojaukšana</t>
  </si>
  <si>
    <t>kg</t>
  </si>
  <si>
    <t>cokola profils</t>
  </si>
  <si>
    <t>m</t>
  </si>
  <si>
    <t>skrūves,dībelis (cokola profilam)</t>
  </si>
  <si>
    <t>gab</t>
  </si>
  <si>
    <t>līme "Sakret" BK</t>
  </si>
  <si>
    <t>dībelis</t>
  </si>
  <si>
    <t>stiklšķiedras siets</t>
  </si>
  <si>
    <t>līme "Sakret" BAK</t>
  </si>
  <si>
    <t>l</t>
  </si>
  <si>
    <t>Palodžu notekņu ierīkošana no "Ruukki" materiālēm (nomaiņa)</t>
  </si>
  <si>
    <t>skārds</t>
  </si>
  <si>
    <t>kpl</t>
  </si>
  <si>
    <t>Cokols</t>
  </si>
  <si>
    <t>m3</t>
  </si>
  <si>
    <t>Būvgružu savākšana, iekraušana automašīnā un izvešana  uz izgāztuvi</t>
  </si>
  <si>
    <t>Kopā :</t>
  </si>
  <si>
    <t xml:space="preserve">Tiešās izmaksas kopā : </t>
  </si>
  <si>
    <t xml:space="preserve">   Pārbaudīja : __________________</t>
  </si>
  <si>
    <t>Sert. Nr.</t>
  </si>
  <si>
    <t>  </t>
  </si>
  <si>
    <t>krāsa</t>
  </si>
  <si>
    <t>Fasādes siltināšana</t>
  </si>
  <si>
    <t>Lokāla tāme 1</t>
  </si>
  <si>
    <t>Lokāla tāme 2</t>
  </si>
  <si>
    <t>Jumta slīpuma izveidošana biezumā  no keramzīta 0 ~190mm</t>
  </si>
  <si>
    <t>Tvaika izolācijas 0.2mm ieklāšana</t>
  </si>
  <si>
    <t xml:space="preserve">Tvaika izolācijas </t>
  </si>
  <si>
    <t>t.m.</t>
  </si>
  <si>
    <t>LOGI, DURVIS</t>
  </si>
  <si>
    <t>DURVIS</t>
  </si>
  <si>
    <t>makroflex</t>
  </si>
  <si>
    <t>Logu bloku demontāža</t>
  </si>
  <si>
    <t>bal</t>
  </si>
  <si>
    <t>Ailsanu apdare no iekšpuses</t>
  </si>
  <si>
    <t>Durvju bloku demontāža</t>
  </si>
  <si>
    <t xml:space="preserve">                                                                                                                          APSTIPRINU</t>
  </si>
  <si>
    <t xml:space="preserve">                                                                                        ______________________________________</t>
  </si>
  <si>
    <t xml:space="preserve">                                                                                                            (pasūtītāja paraksts un ta atšifrējums)</t>
  </si>
  <si>
    <t>Z.v.</t>
  </si>
  <si>
    <t xml:space="preserve">                                           ______.gada______._______________</t>
  </si>
  <si>
    <t>Būvniecības koptāme</t>
  </si>
  <si>
    <t>Lokālās tāmes Nr.</t>
  </si>
  <si>
    <t>Objekta darbu nosaukums</t>
  </si>
  <si>
    <t>1</t>
  </si>
  <si>
    <t>KOPĀ:</t>
  </si>
  <si>
    <t> PAVISAM BŪVNIECĪBAS IZMAKSAS:</t>
  </si>
  <si>
    <t>Sastādīja :</t>
  </si>
  <si>
    <t>(paraksts un tā atšifrējums, datums)</t>
  </si>
  <si>
    <t>Sertifikāta Nr.</t>
  </si>
  <si>
    <t>Pārbaudīja :</t>
  </si>
  <si>
    <t>Būvprojekta vadītājs</t>
  </si>
  <si>
    <t>Kopsavilkuma aprēķini pa darbu vai konstruktīvo elementu veidiem</t>
  </si>
  <si>
    <t>(darba veids vai konstruktīva elementa nosaukums)</t>
  </si>
  <si>
    <t xml:space="preserve">                         Kopējā darbietilpība, c/h </t>
  </si>
  <si>
    <t>Nr. p.k.</t>
  </si>
  <si>
    <t>Kods, tāmes Nr.</t>
  </si>
  <si>
    <t>Darba, vai konstruktīvā elementa nosaukums</t>
  </si>
  <si>
    <t>Darb- ietilpība (c/st)</t>
  </si>
  <si>
    <t>Kopā:</t>
  </si>
  <si>
    <t>vātes stiprinājuma elements</t>
  </si>
  <si>
    <t>gb.</t>
  </si>
  <si>
    <t>Jumta apakšklāja ieklāšana ar ruloniem materiāliem Tehnoelast EPP lietojot uzkausēšanas tehnoloģiju un stiprinot ar dībeļiem, svars - 4.6kg/m2, biezums - 4.0mm</t>
  </si>
  <si>
    <t>Tehnoelast EPP ruļļveida materiāls  4.0mm                   vai ekvivalents</t>
  </si>
  <si>
    <t>Jumta virsklāja ieklāšana ar SBS modificētu uzkausējamu ruļļveida materiālu Tehnoelast EKP 5.0kg/m2, 4.2mm</t>
  </si>
  <si>
    <t>Tehnoelast EKP ruļļveida materiāls  4.2mm                  vai ekvivalents</t>
  </si>
  <si>
    <t> Finanšu rezerve neparedzētiem darbiem %:</t>
  </si>
  <si>
    <t>-</t>
  </si>
  <si>
    <t>skrūves</t>
  </si>
  <si>
    <t>gb</t>
  </si>
  <si>
    <t>naglas</t>
  </si>
  <si>
    <r>
      <t>m</t>
    </r>
    <r>
      <rPr>
        <vertAlign val="superscript"/>
        <sz val="11"/>
        <color indexed="8"/>
        <rFont val="Arial Narrow"/>
        <family val="2"/>
      </rPr>
      <t>2</t>
    </r>
  </si>
  <si>
    <t xml:space="preserve">Grunts </t>
  </si>
  <si>
    <t xml:space="preserve">Pasūtījuma Nr.: </t>
  </si>
  <si>
    <t>Ugunsizturīgā  krāsa</t>
  </si>
  <si>
    <t>Antikondensāta plēves ieklāšana</t>
  </si>
  <si>
    <t>Antikondensāta plēve</t>
  </si>
  <si>
    <t>Latojuma ierīkošana (garenlatas)</t>
  </si>
  <si>
    <t>zāģmateriāli 25x100</t>
  </si>
  <si>
    <t>Latojuma ierīkošana (šķerslatas)</t>
  </si>
  <si>
    <t>zāģmateriāli 25x50</t>
  </si>
  <si>
    <t>Jumta ierīkošana no profilētām metāla loksnēm</t>
  </si>
  <si>
    <t>stiprināšanas det.</t>
  </si>
  <si>
    <t>apdares elementi</t>
  </si>
  <si>
    <t>Ūdens notekcaurules 100 mm galu demontāža un nomaiņa</t>
  </si>
  <si>
    <t xml:space="preserve">Būvgrūžu savākšana, iekraušana automašīnā  un  izvešana uz izgāztuvi </t>
  </si>
  <si>
    <t>Jumta tekņu ∅100 mm demontāža un montāža</t>
  </si>
  <si>
    <t>Grunts Sadolin Sandtex vai ekvivalents</t>
  </si>
  <si>
    <t>krāsa SADOLIN F vai ekvivalents</t>
  </si>
  <si>
    <t>Jumta karnīze</t>
  </si>
  <si>
    <t>Skrūves</t>
  </si>
  <si>
    <t>Dēlīšu apšuvuma gruntēšana un krāsošana</t>
  </si>
  <si>
    <t>PVN 21%:</t>
  </si>
  <si>
    <t>Antiseptētas koka brusas</t>
  </si>
  <si>
    <t>Stiprinājumi</t>
  </si>
  <si>
    <t>Koka apdares dēļi</t>
  </si>
  <si>
    <t>strukturkrāsa Sadolin Sando M vai ekvivalents</t>
  </si>
  <si>
    <t>Sieta stiprināšana fasādes un ailsānu virsmā</t>
  </si>
  <si>
    <t>Sienas un ailsānu virsmu krāsošana divās kārtās ar tonēto struktureto krāsu</t>
  </si>
  <si>
    <t>Palodžu uzstadīšana no iekšpūses</t>
  </si>
  <si>
    <t xml:space="preserve">grunts </t>
  </si>
  <si>
    <t>Atrakto un cokola sienu virsmu notīrīšana, šūvju aizdarīšana</t>
  </si>
  <si>
    <t>Durvju montāža</t>
  </si>
  <si>
    <t>Paredzēt iekšējo un ārējo palodzi, to uzstādīšana."thermic spacers" tipa pakešu distanceriem un pretvēja-pretkondensāta membrānu pa loga perimetru. Logu ailu iekšēja apdare.</t>
  </si>
  <si>
    <t>dažadi stūra profili</t>
  </si>
  <si>
    <t>Grunts UG</t>
  </si>
  <si>
    <t>Siets</t>
  </si>
  <si>
    <t>"Fungi"</t>
  </si>
  <si>
    <t>Dažādi darbi</t>
  </si>
  <si>
    <t>EL skapju demontāža un montāža</t>
  </si>
  <si>
    <t>LOGI</t>
  </si>
  <si>
    <t>Cokola apmetuma virsmu remonts (30%)</t>
  </si>
  <si>
    <t>bēniņu metāla durvis 800x2000 EI 30</t>
  </si>
  <si>
    <t>Esošo spāru sistēmu  ugunsaizsardzības krāsojuma atjaunošana</t>
  </si>
  <si>
    <t>Sniega barjers</t>
  </si>
  <si>
    <t>Bēniņi</t>
  </si>
  <si>
    <t>Dēļu laipu ierīkošana</t>
  </si>
  <si>
    <t>Dēļi 40mm</t>
  </si>
  <si>
    <t>Gulšņi 50x50</t>
  </si>
  <si>
    <t>Bēniņu pārseguma siltumizolāciju demontāža</t>
  </si>
  <si>
    <t>Jumta karnīžu apšūšana ar koka apdares dēļiem pa izveidoto koka karkasu</t>
  </si>
  <si>
    <t>JUMTS un BĒNIŅI</t>
  </si>
  <si>
    <t>Līme</t>
  </si>
  <si>
    <t>APKURE</t>
  </si>
  <si>
    <t>VENTILĀCIJA</t>
  </si>
  <si>
    <t xml:space="preserve">siltumizolācijas plātnes b=50mm </t>
  </si>
  <si>
    <t>Veco ēku starpķieģeļu šuvojuma un plaisu remonts pirms siltināšanas</t>
  </si>
  <si>
    <t>Ruukki Classik vai analogs</t>
  </si>
  <si>
    <t xml:space="preserve">Bēniņu pārseguma siltināšana ar  b=420mm mīksto siltinājumu kārtu </t>
  </si>
  <si>
    <t>Paroc eXtra b=200x2mm vai analogs</t>
  </si>
  <si>
    <t>Paroc ROB 80 b=20mm vai analogs</t>
  </si>
  <si>
    <t>Bēniņu vertikālo sienu siltināšana ar  150mm biezu cietu akmens vati un nosegšana ar pretvēju membranu</t>
  </si>
  <si>
    <t>murlata hidroizolācija (ruberoīds)</t>
  </si>
  <si>
    <t>z/materiāli</t>
  </si>
  <si>
    <t>stiprinajumi</t>
  </si>
  <si>
    <t>siltumizolācija b=80mm</t>
  </si>
  <si>
    <t>preteja izolācija b=50mm</t>
  </si>
  <si>
    <t>Bēniņu ārsienu horizontālo virsmu siltināšana ar 80mm biezu siltumizolācijas slani</t>
  </si>
  <si>
    <t>cementa java</t>
  </si>
  <si>
    <t>Maģistrālo cauruļvadu siltumizolācijas sakartošana visa ēka un siltumpunkta</t>
  </si>
  <si>
    <t>siltumizolācija b=100mm</t>
  </si>
  <si>
    <t>Apkures sistēmas skalošana, balansēšanas vārstu uzstādīšana un balansēšana</t>
  </si>
  <si>
    <t>Decentralizētas rekuperatīvās ventilācijas sistēmas izveide visā ēka ar siltuma rekuperāciju</t>
  </si>
  <si>
    <t>Logu bloku stiprināšana ar leņķprofiliem un dībeļenkuriem (65x6gab)</t>
  </si>
  <si>
    <t xml:space="preserve">Fasāžu virsmu apmešana ar dekoratīvo apmetumu </t>
  </si>
  <si>
    <t xml:space="preserve">Dekoratīvais apmetums </t>
  </si>
  <si>
    <t>Cokolu un pamatu vienots siltinājums, pielīmējot 250mm ekstrudētā polistirola plāksnes ^=0.035 W/mK (ar pārfalci)</t>
  </si>
  <si>
    <t>Cokola gludu virsmu apmešana ar dekoratīvo apmetumu (virs zemes)</t>
  </si>
  <si>
    <t xml:space="preserve">Cokola krāsošana </t>
  </si>
  <si>
    <t xml:space="preserve">ekstr. putupolistirola plātnes b=200mm </t>
  </si>
  <si>
    <t>Veco betona jumtiņu demontāža</t>
  </si>
  <si>
    <t>Ķieģeļu drupšana (sienas izlīdzinošā)</t>
  </si>
  <si>
    <t>Fasāžu virsmu apstrāde ar "Vincent" Fungi sastāvu</t>
  </si>
  <si>
    <t>Viļnoto azbestcementa lokšņu (šifera) jumta seguma un latojuma nojaukšana</t>
  </si>
  <si>
    <t>Jumta drošības margas</t>
  </si>
  <si>
    <t>Parapeta plātņu ar cinkota skārda demontāža</t>
  </si>
  <si>
    <t>keramzīts b=190mm</t>
  </si>
  <si>
    <t xml:space="preserve">Izlīdzinošā slāņa izveidošana 20mm biezumā </t>
  </si>
  <si>
    <t>Siltuma izolācijas plātņu iebūve pārsegumā</t>
  </si>
  <si>
    <t>puscieto siltinājuma kārta b=200mm ^=0.038 W/mK ROS 30</t>
  </si>
  <si>
    <t>puscieto siltinājuma kārta b=200mm ^=0.038 W/mK ROS 30g</t>
  </si>
  <si>
    <t>cieto siltinājuma kārta b=50mm ^=0.038 W/mK ROB 50</t>
  </si>
  <si>
    <t>Jumta parapetu vertikālo sienu siltināšana ar 200 mm biezu cieto siltinājuma kartu ^=0.039 W/mK</t>
  </si>
  <si>
    <t>cieto siltinājuma kārta b=200mm ^=0.039 W/mK</t>
  </si>
  <si>
    <t>Jumta parapetu horozontālo sienu siltināšana ar 120 mm biezu cieto siltinājuma kartu ^=0.038 W/mK</t>
  </si>
  <si>
    <t>cieto siltinājuma kārta b=120mm ^=0.038 W/mK</t>
  </si>
  <si>
    <t>propans</t>
  </si>
  <si>
    <t>Jumta parapetu apdare no "Rannilla" skarda</t>
  </si>
  <si>
    <t>Jumta tekņu demontāža un montāža</t>
  </si>
  <si>
    <t>Ūdens notekcaurules demontāža un nomaiņa</t>
  </si>
  <si>
    <t>Aeratoru uzstādīšana</t>
  </si>
  <si>
    <t>JUMTS (viļnots segums)</t>
  </si>
  <si>
    <t>JUMTS (ruļļu segums)</t>
  </si>
  <si>
    <t>ķieģeļis</t>
  </si>
  <si>
    <t>java</t>
  </si>
  <si>
    <t xml:space="preserve">Ķieģeļa mūra parapeta paaustināšana </t>
  </si>
  <si>
    <t>Kompleksi energoefektivitātes pasākumi Ilūkstes novada pašvaldības  ēkās, Ilūkste, Ilūkstes nov., Daugavpils raj.</t>
  </si>
  <si>
    <t>Ilūkstes kultūras centra ēkas rekonstrukcija Brīvibas iela 12, Ilūkste, Ilūkstes nov., Daugavpils raj.</t>
  </si>
  <si>
    <t>Brīvības iela 12, Ilūkste, Ilūkstes novads</t>
  </si>
  <si>
    <t>REM_3012</t>
  </si>
  <si>
    <t>gab.</t>
  </si>
  <si>
    <t>Antiseptētas koka brusas (spāru pagarināšana)</t>
  </si>
  <si>
    <t>Ieejas mezgls fasādē 6-7, durvis D-9</t>
  </si>
  <si>
    <t>Ieejas mezgls fasādē 6-7, durvis D-10</t>
  </si>
  <si>
    <t>Demontet esošo uzjumtiņu, uzstādīt metāla konstrukcijas uzjumteni 1000x1000mm ar polikarbonāta segumu</t>
  </si>
  <si>
    <t>Demontet esošo uzjumtiņu, uzstādīt metāla konstrukcijas uzjumteni 1000x1500mm ar polikarbonāta segumu</t>
  </si>
  <si>
    <t>Ieejas mezgls fasādē 4-6, durvis D-2*</t>
  </si>
  <si>
    <t>Uzstādīt metāla konstrukcijas uzjumteni 1000x2000mm ar polikarbonāta segumu</t>
  </si>
  <si>
    <t>Ieejas mezgls fasādē 1-2, durvis D-5</t>
  </si>
  <si>
    <t>Ieejas mezgls fasādē A-D, durvis D-4</t>
  </si>
  <si>
    <t>Apdares no cinkota skārda demontāža</t>
  </si>
  <si>
    <t xml:space="preserve">Pirms siltināšanas darbiem ķieģeļu virsmas mūra izlīdzinošāna (zem logiem) </t>
  </si>
  <si>
    <t>Fasāžu virsmu un ailsānu attīrīšana un apstrāde ar gruntējošu sastāvu, iesk. logu ailsānu</t>
  </si>
  <si>
    <t>Ugunsdrošas kapnes L=10m (demontāža, montāža)</t>
  </si>
  <si>
    <t>GKF</t>
  </si>
  <si>
    <t>"Uniflot"</t>
  </si>
  <si>
    <t>m/karkas</t>
  </si>
  <si>
    <t>izolācija b=100mm</t>
  </si>
  <si>
    <t>šuvju siets</t>
  </si>
  <si>
    <t>Ģipškartona plākšņu piekarto griestu ierīkošana: ugunsdroš rīģipsis (2 slāni)</t>
  </si>
  <si>
    <t>Vetonit LR</t>
  </si>
  <si>
    <t>Metāla durvis 800x2100 EI 60</t>
  </si>
  <si>
    <t>Ventkamera Nr. 1</t>
  </si>
  <si>
    <t>Stārpsienu apšūšana ar ģipškartona  plāksnēm  pa metāla  karkasu (ugunsdrošīgs) 2. slānis</t>
  </si>
  <si>
    <t>Rīģipša sienu un griestu sagatavošana apdarei</t>
  </si>
  <si>
    <t>Sienu un griestu krāsošana ar ū/e krāsu</t>
  </si>
  <si>
    <t>Ventkamera Nr. 2</t>
  </si>
  <si>
    <t>Grīdas</t>
  </si>
  <si>
    <t>PARA CLA60ADV 12W 220-240V E27 FS1 OSRAM</t>
  </si>
  <si>
    <t>LED tubulārā spuldze PHOTON-L PH-TB8W IP20 G13</t>
  </si>
  <si>
    <t>LED tubulārā spuldze PHOTON-L PH-TB22W IP20 G13</t>
  </si>
  <si>
    <t>Esošā apgaismojuma nomaiņa pret diožu tipa apgaismes ķermeņiem ar kustības sensoru vadību energoefektivitātes uzlabošanai</t>
  </si>
  <si>
    <r>
      <t xml:space="preserve">Pasūtījuma Nr.: </t>
    </r>
    <r>
      <rPr>
        <u val="single"/>
        <sz val="11"/>
        <rFont val="Arial"/>
        <family val="2"/>
      </rPr>
      <t xml:space="preserve"> REM_3012</t>
    </r>
  </si>
  <si>
    <t>kpl.</t>
  </si>
  <si>
    <t>Kabelis</t>
  </si>
  <si>
    <t>Plastmasas caurules</t>
  </si>
  <si>
    <t>Viniplasta caurule d=20mm</t>
  </si>
  <si>
    <t>Viniplasta caurule d=32mm</t>
  </si>
  <si>
    <t>ELEKTROAPGĀDE</t>
  </si>
  <si>
    <t>PN1</t>
  </si>
  <si>
    <t>Gaisa apstrādes iekārta ar automātiku 1160/1160 350Pa</t>
  </si>
  <si>
    <t>k-ts</t>
  </si>
  <si>
    <t>Gaisa vadi</t>
  </si>
  <si>
    <t>Fasondaļas</t>
  </si>
  <si>
    <t>Trokšņu slāpētāji</t>
  </si>
  <si>
    <t>Restes</t>
  </si>
  <si>
    <t>Ārejas restes</t>
  </si>
  <si>
    <t>Droseļvārsti</t>
  </si>
  <si>
    <t>Vārsts ar piedziņu</t>
  </si>
  <si>
    <t>Stiprinajumi</t>
  </si>
  <si>
    <t>Ugunsdrošības vārsti</t>
  </si>
  <si>
    <t>Akmens vate ar foliju K-LAM 100mm</t>
  </si>
  <si>
    <t>PN2</t>
  </si>
  <si>
    <t>Gaisa apstrādes iekārta ar automātiku 1690/1690 350Pa</t>
  </si>
  <si>
    <t>PN3</t>
  </si>
  <si>
    <t>Gaisa apstrādes iekārta ar automātiku 8530/8530 450Pa</t>
  </si>
  <si>
    <t>PN4</t>
  </si>
  <si>
    <t>Gaisa apstrādes iekārta ar automātiku 1985/1985 350Pa</t>
  </si>
  <si>
    <t>Ventkamera Nr. 3-4</t>
  </si>
  <si>
    <t>Stārpsienu un griestu apšūšana ar ģipškartona  plāksnēm  pa metāla  karkasu (ugunsdrošīgs) 2. slānis</t>
  </si>
  <si>
    <t>Logu ailsānu siltināšana b=30mm</t>
  </si>
  <si>
    <r>
      <t xml:space="preserve">Ārsienu siltināšana ar siltumizolāciju Neopor 250mm </t>
    </r>
    <r>
      <rPr>
        <sz val="11"/>
        <rFont val="Calibri"/>
        <family val="2"/>
      </rPr>
      <t>λ</t>
    </r>
    <r>
      <rPr>
        <sz val="11"/>
        <rFont val="Arial Narrow"/>
        <family val="2"/>
      </rPr>
      <t>=0.030W/mK, ar pusspundi  vai ekvivalents</t>
    </r>
  </si>
  <si>
    <t>siltumizolācijas plāksnes Neopors ar pusspundi b=250 mm vai ekvivalents</t>
  </si>
  <si>
    <t>siltumizolācijas stiprinājums, plastmasa enkuri ar siltumizolācijas uzlikam 30mm</t>
  </si>
  <si>
    <t xml:space="preserve">siltumizolācijas plātnes b=30mm </t>
  </si>
  <si>
    <t>Sadalnes un komponentes</t>
  </si>
  <si>
    <t>Esošā sadalnē uzstādīt papildus - automāts C16A, 400V</t>
  </si>
  <si>
    <t>Esošā sadalnē uzstādīt papildus - automāts C40A, 400V</t>
  </si>
  <si>
    <t>Esošā sadalnē (siltummezgla telpa) uzstādīt papildus - drošinataju bloks 16A, 400V</t>
  </si>
  <si>
    <t>Slēdži</t>
  </si>
  <si>
    <t>Vienpola virsapmetuma hermētisks slēdzis 230V, 10A, IP44</t>
  </si>
  <si>
    <t>2-štifta poga ar signālspuldzi</t>
  </si>
  <si>
    <t>Kontaktligzdas</t>
  </si>
  <si>
    <t>1-vietīgs virsapmetuma hermētisks sienas
kontakts ar zemējuma nazi 230V, 16A, IP44</t>
  </si>
  <si>
    <t>Kabelis šķ.3x1,5mm² 60 min ugunsizturīgs</t>
  </si>
  <si>
    <t>Sienas prettrieciena gaismeklis ar  LED 850 spuldzi 12W, a.p.IP55, ALFA 30-21  12W (GLAMOX) vai analogs</t>
  </si>
  <si>
    <t>Kabelis šķ. 3x1,5 mm2 NYM-J vai analogs</t>
  </si>
  <si>
    <t>Kabelis šķ. 3x2,5 mm2 NYM-J vai analogs</t>
  </si>
  <si>
    <t>Kabelis šķ. 5x1,5 mm2 NYM-J vai analogs</t>
  </si>
  <si>
    <t>Kabelis šķ. 5x2,5 mm2 NYM-J vai analogs</t>
  </si>
  <si>
    <t>Kabelis šķ. 5x10 mm2 NYM-J vai analogs</t>
  </si>
  <si>
    <t xml:space="preserve"> ELEKTROAPGĀDE</t>
  </si>
  <si>
    <t>Lokāla tāme 5</t>
  </si>
  <si>
    <t>Gaisavadu pieslegums pie esošiem difuzoram</t>
  </si>
  <si>
    <t>Loga stiprināšanas kronšteinu SFS Intec ar stiprinājuma elementiem montāža</t>
  </si>
  <si>
    <t xml:space="preserve">Automātisko termoregulējošo ventiļu uzstādīšana uz radiatoriem. Stiebru savienojumu izveide </t>
  </si>
  <si>
    <t>Vecā jumta ruļļu seguma un siltumizolācijas demontāža ~20cm biezumā līdz pārseguma panelim</t>
  </si>
  <si>
    <t>Logu (L-1) montāža. Logi montējami sienas siltinājuma zona. Logi ir verami. Logu vēršanas furnitūra nodrošina logu vēršanu 4 stāvokļos, tai skaitā "ziemas vēdināšana". PVC konstruk Siltumcaurlaidības koeficients U rāmis &lt;1.1W/(m2K)
- Siltumcaurlaidības koeficients U stikls &lt;0.6W/(m2K)
Loga izmērs 1490x2190mm. 7gab.</t>
  </si>
  <si>
    <t>Logu (L-2) montāža. Logi montējami sienas siltinājuma zona. Logi ir verami. Logu vēršanas furnitūra nodrošina logu vēršanu 4 stāvokļos, tai skaitā "ziemas vēdināšana". PVC konstruk Siltumcaurlaidības koeficients U rāmis &lt;1.1W/(m2K)
- Siltumcaurlaidības koeficients U stikls &lt;0.6W/(m2K)
Loga izmērs 2540x1750mm. 20gab.</t>
  </si>
  <si>
    <t>Logu (L-3) montāža. Logi montējami sienas siltinājuma zona. Logi ir verami. Logu vēršanas furnitūra nodrošina logu vēršanu 4 stāvokļos, tai skaitā "ziemas vēdināšana". PVC konstruk Siltumcaurlaidības koeficients U rāmis &lt;1.1W/(m2K)
- Siltumcaurlaidības koeficients U stikls &lt;0.6W/(m2K)
Loga izmērs 1190x1770mm. 9gab.</t>
  </si>
  <si>
    <t>Logu (L-4)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1050x1700mm. 9gab.</t>
  </si>
  <si>
    <t>Logu (L-5)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1330x8400mm. 1gab.</t>
  </si>
  <si>
    <t>Logu (L-6) montāža. Logi montējami sienas siltinājuma zona. Logi ir verami. Logu vēršanas furnitūra nodrošina logu vēršanu 4 stāvokļos, tai skaitā "ziemas vēdināšana". PVC konstruk Siltumcaurlaidības koeficients U rāmis &lt;1.1W/(m2K)
- Siltumcaurlaidības koeficients U stikls &lt;0.6W/(m2K)
Loga izmērs 1650x3200mm. 7gab.</t>
  </si>
  <si>
    <t>Logu (L-7)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1940x4420mm. 6gab.</t>
  </si>
  <si>
    <t>Logu (L-8)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1453x800mm. 1gab.</t>
  </si>
  <si>
    <t>Logu (L-9)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1350x780mm. 3gab.</t>
  </si>
  <si>
    <t>Logu (L-10)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1480x800mm. 5gab.</t>
  </si>
  <si>
    <t>Logu (L-11)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1320x820mm. 5gab.</t>
  </si>
  <si>
    <t>Logu (L-12)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1300x1500mm. 1gab.</t>
  </si>
  <si>
    <t>Jumta logu montāža, Koka konstrukcijas rāmis. Viens stikla bloks un divi dvēdināšanas bloki ar koka restēm.
Loga izmērs 1290x800mm. 6gab.</t>
  </si>
  <si>
    <t>Siltumnoturīgs alumīja konstrukcijas durvju bloks ar stiklojumu (D-1), krāsa ārpusē - pelēka, iekšpusē - balta.  Divas vērtnes. (U durvis &lt; 0.8W/(m2K)m2). Ar dubulto pārfalci un divām blīvējuma gumijām perimetrā. Stikls, caurspīdīgs. Selektīvā stikla pakešu logu bloki:
- Siltumcaurlaidības koeficients U rāmis &lt;1.1W/(m2K)
- Siltumcaurlaidības koeficients U stikls &lt;0.6W/(m2K)
- Ψ speiseris &lt; 0.04W/(m x K)m2 (Thermix)
- Ψ install &lt; 0.04W/(m x K) ar izmeru 5080x2350mm</t>
  </si>
  <si>
    <t xml:space="preserve">Siltumnoturīgas PVC konstrukcijas durvis (D-2), divas vērtnes. (U durvis &lt; 0.8W/(m2K)m2). Ar dubulto pārfalci un divām blīvējuma gumijām perimetrā. Durvju izmērs precizejams pirms nomaiņas. Durvju montāža. Ar izmeru 1880x2250mm </t>
  </si>
  <si>
    <t xml:space="preserve">Siltumnoturīgas aluminija konstrukcijas durvis (D-2*), divas vērtnes. (U durvis &lt; 0.8W/(m2K)m2). Ar dubulto pārfalci un divām blīvējuma gumijām perimetrā. Durvju izmērs precizejams pirms nomaiņas. Durvju montāža. Ar izmeru 1700x2250mm </t>
  </si>
  <si>
    <t xml:space="preserve">Siltumnoturīgas aluminija konstrukcijas durvis (D-3), divas vērtnes. (U durvis &lt; 0.8W/(m2K)m2). Ar dubulto pārfalci un divām blīvējuma gumijām perimetrā. Durvju izmērs precizejams pirms nomaiņas. Durvju montāža. Ar izmeru 1650x3195mm </t>
  </si>
  <si>
    <t>Siltumnoturīgas metāla durvis (D-4 )1020x1940mm, viena vērtne 1gb. (U durvis &lt; 0.8W/(m2K)m2). Ar dubulto pārfalci un divām blīvējuma gumijām perimetrā. Durvju montāža.</t>
  </si>
  <si>
    <t>Siltumnoturīgas metāla durvis (D-5 )1100x2000mm, viena vērtne 1gb. (U durvis &lt; 0.8W/(m2K)m2). Ar dubulto pārfalci un divām blīvējuma gumijām perimetrā. Durvju montāža.</t>
  </si>
  <si>
    <t>Siltumnoturīgas metāla durvis (D-6 )1500x3000mm, viena vērtne 1gb. (U durvis &lt; 0.8W/(m2K)m2). Ar dubulto pārfalci un divām blīvējuma gumijām perimetrā. Durvju montāža.</t>
  </si>
  <si>
    <t>Siltumnoturīgas metāla durvis (D-7 )1100x1900mm, viena vērtne 1gb. (U durvis &lt; 0.8W/(m2K)m2). Ar dubulto pārfalci un divām blīvējuma gumijām perimetrā. Durvju montāža.</t>
  </si>
  <si>
    <t>Siltumnoturīgas metāla durvis (D-8)1120x1900mm, viena vērtne 1gb. (U durvis &lt; 0.8W/(m2K)m2). Ar dubulto pārfalci un divām blīvējuma gumijām perimetrā. Durvju montāža.</t>
  </si>
  <si>
    <t>Lokāla tāme 7</t>
  </si>
  <si>
    <t>Lokāla tāme 8</t>
  </si>
  <si>
    <t xml:space="preserve">      Sastādīja : ___________________ </t>
  </si>
  <si>
    <t xml:space="preserve">Sert. Nr. </t>
  </si>
  <si>
    <t>Tāme sastādīta 2014.gada tirgus cenās, pamatojoties uz AR daļas rasējumiem.</t>
  </si>
  <si>
    <t xml:space="preserve">Tāme sastādīta : </t>
  </si>
  <si>
    <t>Komentārs</t>
  </si>
  <si>
    <t xml:space="preserve">Būvuzņēmējam jāievērtē darba apjomā minēto darbu veikšanai nepieciešamie materiāli un papildus darbi, kas nav minēti šajā sarakstā, bet bez kuriem nebūtu iespējama būvdarbu tehnoloģiski pareiza un esošajiem normatīviem atbilstoša veikšana pilnā apmērā. Darbu apjomu sarakstu skatīt kopā ar rasējumiem un specifikācījām. Gadījumā ja darbu apjomi nesakrīt, par pareiziem jāuzskata rasējumos esošie darbu apjomi. Videi kaitīgie atkritumi jāutilizē atbilstoši  Atkritumu apsaimniekošanas likumam.  </t>
  </si>
  <si>
    <t>darba samaksas likme               EUR/h)</t>
  </si>
  <si>
    <t>darba alga          (EUR)</t>
  </si>
  <si>
    <t>materiāli             (EUR)</t>
  </si>
  <si>
    <t>mehānismi                (EUR)</t>
  </si>
  <si>
    <t>Kopā        (EUR)</t>
  </si>
  <si>
    <t>darba alga         (EUR)</t>
  </si>
  <si>
    <t>materiāli  (EUR)</t>
  </si>
  <si>
    <t>mehānismi                 (EUR)</t>
  </si>
  <si>
    <t>Summa  (EUR)</t>
  </si>
  <si>
    <t>Kopējās izmaksas /EUR/</t>
  </si>
  <si>
    <t>EUR</t>
  </si>
  <si>
    <t>Materiālu un būvgružu transporta izdevumi %</t>
  </si>
  <si>
    <t>Logu (L-13)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1320x820mm. 5gab.</t>
  </si>
  <si>
    <t>Logu (L-14) montāža, logi nav verami, logu vēršanās furnitūra nodrošina logu vēršanu 4 stāvokļos, tai skaitā "ziemas vēdināšana" PVC konstrukcijas loga rāmis, krāsa ārpusē - brūna, iekšpusē - balta. Selektīvā stikla pakešu logu bloki:
- Siltumcaurlaidības koeficients U rāmis &lt;1.1W/(m2K)
- Siltumcaurlaidības koeficients U stikls &lt;0.6W/(m2K)
Loga izmērs 1300x1500mm. 1gab.</t>
  </si>
  <si>
    <t>celtniecības puta</t>
  </si>
  <si>
    <t>balons</t>
  </si>
  <si>
    <t>Iekšējo durvju ailu malu izlīdzināšana ar Rotbandu, špaktelēšana un slīpēšana, gruntēšana un krāsošana ar tonētu ūdens emulsijas krāsu (iekļaujot visus nepieciešamos pamatmateriālus un  palīgmateriālus)</t>
  </si>
  <si>
    <t>grunts betonkontakt</t>
  </si>
  <si>
    <t>špakteļmasa (rotband)</t>
  </si>
  <si>
    <t>stūris</t>
  </si>
  <si>
    <t>grunts sakret UG vai analogs</t>
  </si>
  <si>
    <t>smalkgraudaina špaktele</t>
  </si>
  <si>
    <t>smilšpapīrs</t>
  </si>
  <si>
    <t>ūdens emulsijas krāsa un grunts</t>
  </si>
  <si>
    <t>palīgmateriāli</t>
  </si>
  <si>
    <t>Gaisa apmaiņas zonēšanas koridors uzstādot blīvas durvis starp ēkas koridoru daļām</t>
  </si>
  <si>
    <t xml:space="preserve">      Sastādīja : ___________________</t>
  </si>
  <si>
    <t>Tāme sastādīta 2014.gada tirgus cenās, pamatojoties uz AVK daļas rasējumiem.</t>
  </si>
  <si>
    <t>darba samaksas likme               (EUR/h)</t>
  </si>
  <si>
    <t xml:space="preserve">                                       Par kopējo summu, EUR </t>
  </si>
  <si>
    <t>Tāmes izmaksas (EUR)</t>
  </si>
  <si>
    <t>darba alga (EUR)</t>
  </si>
  <si>
    <t>Tāmes vērtība EUR</t>
  </si>
  <si>
    <t>materiāli (EUR)</t>
  </si>
  <si>
    <t>mehānismi (EUR)</t>
  </si>
  <si>
    <t xml:space="preserve"> Virsizdevumi ( % )</t>
  </si>
  <si>
    <t xml:space="preserve">                                                Peļņa ( % )</t>
  </si>
  <si>
    <t>Darba devēja sociālais nodoklis (23,59%)</t>
  </si>
  <si>
    <t>Sastādīja  _____________________</t>
  </si>
  <si>
    <t xml:space="preserve">Tāme sastādīta : 2014.gada  </t>
  </si>
  <si>
    <t>Ilūkstes kultūras centra ēkas rekonstrukcija Brīvības ielā 12, Ilūkste</t>
  </si>
  <si>
    <r>
      <t xml:space="preserve">Objekta nosaukums:   </t>
    </r>
    <r>
      <rPr>
        <u val="single"/>
        <sz val="12"/>
        <rFont val="Arial"/>
        <family val="2"/>
      </rPr>
      <t>Kompleksi energoefektivitātes pasākumi Ilūkstes novada pašvaldības  ēkās, Ilūkste, Ilūkstes nov.</t>
    </r>
  </si>
  <si>
    <r>
      <t xml:space="preserve">Objekta nosaukums:  </t>
    </r>
    <r>
      <rPr>
        <u val="single"/>
        <sz val="11"/>
        <rFont val="Arial"/>
        <family val="2"/>
      </rPr>
      <t>Ilūkstes kultūras centra ēkas rekonstrukcija Brīvibas iela 12, Ilūkste, Ilūkstes nov.</t>
    </r>
  </si>
  <si>
    <t>Kompleksi energoefektivitātes pasākumi Ilūkstes novada pašvaldības  ēkās, Ilūkste, Ilūkstes nov.</t>
  </si>
  <si>
    <t>Ilūkstes kultūras centra ēkas rekonstrukcija Brīvibas iela 12, Ilūkste, Ilūkstes nov.</t>
  </si>
</sst>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Ls-426]"/>
    <numFmt numFmtId="181" formatCode="0.0"/>
    <numFmt numFmtId="182" formatCode="0.0000"/>
    <numFmt numFmtId="183" formatCode="0.000"/>
    <numFmt numFmtId="184" formatCode="mmm\ dd"/>
    <numFmt numFmtId="185" formatCode="#,##0.0"/>
    <numFmt numFmtId="186" formatCode="0.00000"/>
    <numFmt numFmtId="187" formatCode="_-&quot;Ls &quot;* #,##0.00_-;&quot;-Ls &quot;* #,##0.00_-;_-&quot;Ls &quot;* \-??_-;_-@_-"/>
    <numFmt numFmtId="188" formatCode="_-* #,##0.00_-;\-* #,##0.00_-;_-* \-??_-;_-@_-"/>
  </numFmts>
  <fonts count="80">
    <font>
      <sz val="11"/>
      <color theme="1"/>
      <name val="Calibri"/>
      <family val="2"/>
    </font>
    <font>
      <sz val="11"/>
      <color indexed="8"/>
      <name val="Calibri"/>
      <family val="2"/>
    </font>
    <font>
      <sz val="10"/>
      <name val="Arial"/>
      <family val="2"/>
    </font>
    <font>
      <b/>
      <sz val="14"/>
      <name val="Arial Narrow"/>
      <family val="2"/>
    </font>
    <font>
      <sz val="10"/>
      <name val="Arial Narrow"/>
      <family val="2"/>
    </font>
    <font>
      <b/>
      <i/>
      <u val="single"/>
      <sz val="14"/>
      <name val="Arial Narrow"/>
      <family val="2"/>
    </font>
    <font>
      <sz val="8"/>
      <name val="Arial Narrow"/>
      <family val="2"/>
    </font>
    <font>
      <sz val="12"/>
      <name val="Arial Narrow"/>
      <family val="2"/>
    </font>
    <font>
      <b/>
      <sz val="12"/>
      <name val="Arial Narrow"/>
      <family val="2"/>
    </font>
    <font>
      <sz val="11"/>
      <name val="Arial Narrow"/>
      <family val="2"/>
    </font>
    <font>
      <u val="single"/>
      <sz val="11"/>
      <name val="Arial Narrow"/>
      <family val="2"/>
    </font>
    <font>
      <b/>
      <sz val="11"/>
      <name val="Arial Narrow"/>
      <family val="2"/>
    </font>
    <font>
      <b/>
      <i/>
      <sz val="11"/>
      <name val="Arial Narrow"/>
      <family val="2"/>
    </font>
    <font>
      <b/>
      <sz val="10"/>
      <color indexed="8"/>
      <name val="Arial Narrow"/>
      <family val="2"/>
    </font>
    <font>
      <b/>
      <sz val="11"/>
      <color indexed="8"/>
      <name val="Arial Narrow"/>
      <family val="2"/>
    </font>
    <font>
      <sz val="11"/>
      <color indexed="8"/>
      <name val="Arial Narrow"/>
      <family val="2"/>
    </font>
    <font>
      <b/>
      <sz val="10"/>
      <name val="Arial Narrow"/>
      <family val="2"/>
    </font>
    <font>
      <sz val="10"/>
      <name val="Arial Cyr"/>
      <family val="2"/>
    </font>
    <font>
      <sz val="12"/>
      <name val="Arial"/>
      <family val="2"/>
    </font>
    <font>
      <sz val="8"/>
      <name val="Arial"/>
      <family val="2"/>
    </font>
    <font>
      <sz val="11"/>
      <name val="Arial"/>
      <family val="2"/>
    </font>
    <font>
      <sz val="14"/>
      <name val="Arial"/>
      <family val="2"/>
    </font>
    <font>
      <b/>
      <sz val="16"/>
      <name val="Arial"/>
      <family val="2"/>
    </font>
    <font>
      <b/>
      <sz val="11"/>
      <name val="Arial"/>
      <family val="2"/>
    </font>
    <font>
      <u val="single"/>
      <sz val="11"/>
      <name val="Arial"/>
      <family val="2"/>
    </font>
    <font>
      <sz val="13"/>
      <name val="Arial"/>
      <family val="2"/>
    </font>
    <font>
      <b/>
      <sz val="13"/>
      <name val="Arial"/>
      <family val="2"/>
    </font>
    <font>
      <b/>
      <sz val="11"/>
      <color indexed="8"/>
      <name val="Arial"/>
      <family val="2"/>
    </font>
    <font>
      <sz val="11"/>
      <color indexed="8"/>
      <name val="Arial"/>
      <family val="2"/>
    </font>
    <font>
      <b/>
      <sz val="14"/>
      <name val="Arial"/>
      <family val="2"/>
    </font>
    <font>
      <u val="single"/>
      <sz val="12"/>
      <name val="Arial"/>
      <family val="2"/>
    </font>
    <font>
      <b/>
      <u val="single"/>
      <sz val="11"/>
      <name val="Arial"/>
      <family val="2"/>
    </font>
    <font>
      <b/>
      <sz val="11"/>
      <color indexed="9"/>
      <name val="Arial Narrow"/>
      <family val="2"/>
    </font>
    <font>
      <sz val="8"/>
      <name val="Calibri"/>
      <family val="2"/>
    </font>
    <font>
      <vertAlign val="superscript"/>
      <sz val="11"/>
      <color indexed="8"/>
      <name val="Arial Narrow"/>
      <family val="2"/>
    </font>
    <font>
      <sz val="10"/>
      <name val="Helv"/>
      <family val="0"/>
    </font>
    <font>
      <sz val="9"/>
      <name val="Arial"/>
      <family val="2"/>
    </font>
    <font>
      <sz val="10"/>
      <name val="Times New Roman"/>
      <family val="1"/>
    </font>
    <font>
      <u val="single"/>
      <sz val="11"/>
      <color indexed="8"/>
      <name val="Arial Narrow"/>
      <family val="2"/>
    </font>
    <font>
      <i/>
      <u val="single"/>
      <sz val="12"/>
      <name val="Arial"/>
      <family val="2"/>
    </font>
    <font>
      <b/>
      <u val="single"/>
      <sz val="14"/>
      <name val="Arial"/>
      <family val="2"/>
    </font>
    <font>
      <b/>
      <u val="single"/>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top>
        <color indexed="63"/>
      </top>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color indexed="8"/>
      </left>
      <right style="thin">
        <color indexed="8"/>
      </right>
      <top style="thin">
        <color indexed="8"/>
      </top>
      <bottom style="mediu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2" fillId="0" borderId="0" applyFill="0" applyBorder="0" applyAlignment="0" applyProtection="0"/>
    <xf numFmtId="0" fontId="2"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35" fillId="0" borderId="0">
      <alignment/>
      <protection/>
    </xf>
    <xf numFmtId="0" fontId="17" fillId="0" borderId="0">
      <alignment/>
      <protection/>
    </xf>
    <xf numFmtId="0" fontId="2" fillId="0" borderId="0">
      <alignment vertical="center"/>
      <protection/>
    </xf>
    <xf numFmtId="0" fontId="2" fillId="0" borderId="0">
      <alignment/>
      <protection/>
    </xf>
    <xf numFmtId="0" fontId="37" fillId="0" borderId="0">
      <alignment/>
      <protection/>
    </xf>
    <xf numFmtId="0" fontId="2" fillId="0" borderId="0">
      <alignment/>
      <protection/>
    </xf>
    <xf numFmtId="0" fontId="1" fillId="32" borderId="7" applyNumberFormat="0" applyFont="0" applyAlignment="0" applyProtection="0"/>
    <xf numFmtId="0" fontId="76" fillId="27" borderId="8" applyNumberFormat="0" applyAlignment="0" applyProtection="0"/>
    <xf numFmtId="9" fontId="1" fillId="0" borderId="0" applyFont="0" applyFill="0" applyBorder="0" applyAlignment="0" applyProtection="0"/>
    <xf numFmtId="0" fontId="2"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79">
    <xf numFmtId="0" fontId="0" fillId="0" borderId="0" xfId="0" applyFont="1" applyAlignment="1">
      <alignment/>
    </xf>
    <xf numFmtId="0" fontId="4" fillId="0" borderId="0" xfId="47" applyFont="1" applyFill="1">
      <alignment/>
      <protection/>
    </xf>
    <xf numFmtId="0" fontId="4" fillId="0" borderId="0" xfId="0" applyFont="1" applyFill="1" applyAlignment="1">
      <alignment vertical="center"/>
    </xf>
    <xf numFmtId="0" fontId="6" fillId="0" borderId="0" xfId="69" applyFont="1" applyFill="1" applyAlignment="1">
      <alignment vertical="center"/>
      <protection/>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0" applyFont="1" applyFill="1" applyBorder="1" applyAlignment="1">
      <alignment vertical="center"/>
    </xf>
    <xf numFmtId="0" fontId="9" fillId="0" borderId="0" xfId="0" applyFont="1" applyAlignment="1">
      <alignment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11" fillId="0" borderId="0" xfId="0" applyFont="1" applyFill="1" applyBorder="1" applyAlignment="1">
      <alignment horizontal="right" vertical="center"/>
    </xf>
    <xf numFmtId="180" fontId="9" fillId="0" borderId="0" xfId="0" applyNumberFormat="1" applyFont="1" applyFill="1" applyAlignment="1">
      <alignment horizontal="left" vertical="center"/>
    </xf>
    <xf numFmtId="180" fontId="9" fillId="0" borderId="0" xfId="0" applyNumberFormat="1" applyFont="1" applyFill="1" applyAlignment="1">
      <alignment horizontal="center" vertical="center"/>
    </xf>
    <xf numFmtId="180" fontId="9" fillId="0" borderId="0" xfId="0" applyNumberFormat="1" applyFont="1" applyFill="1" applyAlignment="1">
      <alignment horizontal="right" vertical="center"/>
    </xf>
    <xf numFmtId="49" fontId="9" fillId="0" borderId="0" xfId="0" applyNumberFormat="1" applyFont="1" applyFill="1" applyAlignment="1">
      <alignment horizontal="center" vertical="center"/>
    </xf>
    <xf numFmtId="0" fontId="9" fillId="0" borderId="0" xfId="69" applyFont="1" applyFill="1" applyAlignment="1">
      <alignment horizontal="center" vertical="center"/>
      <protection/>
    </xf>
    <xf numFmtId="0" fontId="9" fillId="0" borderId="0" xfId="69" applyFont="1" applyFill="1" applyAlignment="1">
      <alignment vertical="center" wrapText="1"/>
      <protection/>
    </xf>
    <xf numFmtId="0" fontId="12" fillId="0" borderId="0" xfId="69" applyFont="1" applyFill="1" applyAlignment="1">
      <alignment horizontal="center" vertical="center" wrapText="1"/>
      <protection/>
    </xf>
    <xf numFmtId="0" fontId="9" fillId="0" borderId="0" xfId="69" applyFont="1" applyFill="1" applyAlignment="1">
      <alignment horizontal="right" vertical="center"/>
      <protection/>
    </xf>
    <xf numFmtId="0" fontId="9" fillId="0" borderId="0" xfId="69" applyFont="1" applyFill="1" applyAlignment="1">
      <alignment vertical="center"/>
      <protection/>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3"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32"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2" fontId="9" fillId="0" borderId="10" xfId="0" applyNumberFormat="1" applyFont="1" applyFill="1" applyBorder="1" applyAlignment="1">
      <alignment horizontal="right" vertical="center"/>
    </xf>
    <xf numFmtId="0" fontId="14" fillId="0" borderId="0" xfId="0" applyFont="1" applyFill="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xf>
    <xf numFmtId="0" fontId="9"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xf>
    <xf numFmtId="0" fontId="9" fillId="0" borderId="0" xfId="0" applyFont="1" applyFill="1" applyAlignment="1">
      <alignment horizontal="left"/>
    </xf>
    <xf numFmtId="0" fontId="9" fillId="0" borderId="13" xfId="0" applyFont="1" applyFill="1" applyBorder="1" applyAlignment="1">
      <alignment horizontal="right" vertical="center" wrapText="1"/>
    </xf>
    <xf numFmtId="0" fontId="9" fillId="0" borderId="13" xfId="0" applyFont="1" applyFill="1" applyBorder="1" applyAlignment="1">
      <alignment horizontal="left"/>
    </xf>
    <xf numFmtId="0" fontId="9" fillId="0" borderId="14" xfId="0" applyFont="1" applyFill="1" applyBorder="1" applyAlignment="1">
      <alignment horizontal="left" vertical="center" wrapText="1"/>
    </xf>
    <xf numFmtId="2" fontId="9" fillId="0" borderId="14" xfId="0" applyNumberFormat="1" applyFont="1" applyFill="1" applyBorder="1" applyAlignment="1">
      <alignment horizontal="center" vertical="center" wrapText="1"/>
    </xf>
    <xf numFmtId="2" fontId="9" fillId="0" borderId="14" xfId="0" applyNumberFormat="1" applyFont="1" applyFill="1" applyBorder="1" applyAlignment="1">
      <alignment horizontal="center" vertical="center"/>
    </xf>
    <xf numFmtId="2" fontId="9" fillId="0" borderId="14" xfId="0" applyNumberFormat="1" applyFont="1" applyFill="1" applyBorder="1" applyAlignment="1">
      <alignment horizontal="right" vertical="center"/>
    </xf>
    <xf numFmtId="0" fontId="9" fillId="0" borderId="14" xfId="0" applyFont="1" applyFill="1" applyBorder="1" applyAlignment="1">
      <alignment horizontal="center" vertical="center"/>
    </xf>
    <xf numFmtId="0" fontId="9" fillId="0" borderId="14" xfId="0" applyFont="1" applyFill="1" applyBorder="1" applyAlignment="1">
      <alignment horizontal="center" vertical="center" wrapText="1"/>
    </xf>
    <xf numFmtId="0" fontId="14" fillId="0" borderId="14" xfId="0" applyFont="1" applyFill="1" applyBorder="1" applyAlignment="1">
      <alignment horizontal="center" vertical="center"/>
    </xf>
    <xf numFmtId="0" fontId="15" fillId="0" borderId="10" xfId="0" applyFont="1" applyFill="1" applyBorder="1" applyAlignment="1">
      <alignment horizontal="center" vertical="center" wrapText="1"/>
    </xf>
    <xf numFmtId="2" fontId="9" fillId="0" borderId="10" xfId="0" applyNumberFormat="1" applyFont="1" applyFill="1" applyBorder="1" applyAlignment="1">
      <alignment vertical="center"/>
    </xf>
    <xf numFmtId="2" fontId="15" fillId="0" borderId="10" xfId="0" applyNumberFormat="1" applyFont="1" applyFill="1" applyBorder="1" applyAlignment="1">
      <alignment horizontal="center" vertical="center"/>
    </xf>
    <xf numFmtId="0" fontId="15" fillId="0" borderId="0" xfId="0" applyFont="1" applyFill="1" applyAlignment="1">
      <alignment/>
    </xf>
    <xf numFmtId="0" fontId="15" fillId="0" borderId="15" xfId="0" applyFont="1" applyFill="1" applyBorder="1" applyAlignment="1">
      <alignment horizontal="center" vertical="center"/>
    </xf>
    <xf numFmtId="0" fontId="15" fillId="0" borderId="16" xfId="0" applyFont="1" applyFill="1" applyBorder="1" applyAlignment="1">
      <alignment vertical="center" wrapText="1"/>
    </xf>
    <xf numFmtId="0" fontId="9" fillId="0" borderId="15" xfId="0" applyFont="1" applyFill="1" applyBorder="1" applyAlignment="1">
      <alignment horizontal="center" vertical="center" wrapText="1"/>
    </xf>
    <xf numFmtId="2" fontId="15" fillId="0" borderId="15"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2" fontId="15" fillId="0" borderId="15" xfId="0" applyNumberFormat="1" applyFont="1" applyFill="1" applyBorder="1" applyAlignment="1" applyProtection="1">
      <alignment horizontal="center" vertical="center"/>
      <protection/>
    </xf>
    <xf numFmtId="2" fontId="9" fillId="0" borderId="15" xfId="0" applyNumberFormat="1" applyFont="1" applyFill="1" applyBorder="1" applyAlignment="1">
      <alignment horizontal="right" vertical="center"/>
    </xf>
    <xf numFmtId="0" fontId="15" fillId="0" borderId="0" xfId="0" applyNumberFormat="1" applyFont="1" applyFill="1" applyBorder="1" applyAlignment="1" applyProtection="1">
      <alignment horizontal="center" vertical="center"/>
      <protection/>
    </xf>
    <xf numFmtId="0" fontId="14" fillId="0" borderId="17" xfId="0" applyNumberFormat="1" applyFont="1" applyFill="1" applyBorder="1" applyAlignment="1" applyProtection="1">
      <alignment horizontal="center" vertical="center" wrapText="1"/>
      <protection/>
    </xf>
    <xf numFmtId="0" fontId="14" fillId="0" borderId="18"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right" vertical="center" wrapText="1"/>
      <protection/>
    </xf>
    <xf numFmtId="0" fontId="14" fillId="0" borderId="18" xfId="0" applyNumberFormat="1" applyFont="1" applyFill="1" applyBorder="1" applyAlignment="1" applyProtection="1">
      <alignment horizontal="center" vertical="center"/>
      <protection/>
    </xf>
    <xf numFmtId="2" fontId="15" fillId="0" borderId="18" xfId="0" applyNumberFormat="1" applyFont="1" applyFill="1" applyBorder="1" applyAlignment="1">
      <alignment horizontal="center" vertical="center"/>
    </xf>
    <xf numFmtId="2" fontId="14" fillId="0" borderId="18" xfId="0" applyNumberFormat="1" applyFont="1" applyFill="1" applyBorder="1" applyAlignment="1" applyProtection="1">
      <alignment horizontal="center" vertical="center"/>
      <protection/>
    </xf>
    <xf numFmtId="2" fontId="14" fillId="0" borderId="2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4" fontId="9" fillId="0" borderId="10" xfId="69" applyNumberFormat="1" applyFont="1" applyFill="1" applyBorder="1" applyAlignment="1">
      <alignment horizontal="right" vertical="center"/>
      <protection/>
    </xf>
    <xf numFmtId="4" fontId="9" fillId="0" borderId="21" xfId="69" applyNumberFormat="1" applyFont="1" applyFill="1" applyBorder="1" applyAlignment="1">
      <alignment horizontal="right" vertical="center"/>
      <protection/>
    </xf>
    <xf numFmtId="4" fontId="11" fillId="0" borderId="22" xfId="69" applyNumberFormat="1" applyFont="1" applyFill="1" applyBorder="1" applyAlignment="1">
      <alignment horizontal="right" vertical="center"/>
      <protection/>
    </xf>
    <xf numFmtId="4" fontId="11" fillId="0" borderId="23" xfId="69" applyNumberFormat="1" applyFont="1" applyFill="1" applyBorder="1" applyAlignment="1">
      <alignment horizontal="right" vertical="center"/>
      <protection/>
    </xf>
    <xf numFmtId="0" fontId="11" fillId="0" borderId="0" xfId="69" applyFont="1" applyFill="1" applyAlignment="1">
      <alignment vertical="center"/>
      <protection/>
    </xf>
    <xf numFmtId="0" fontId="9" fillId="0" borderId="0" xfId="47" applyFont="1" applyFill="1" applyBorder="1" applyAlignment="1">
      <alignment horizontal="center"/>
      <protection/>
    </xf>
    <xf numFmtId="0" fontId="9" fillId="0" borderId="0" xfId="47" applyFont="1" applyFill="1" applyBorder="1">
      <alignment/>
      <protection/>
    </xf>
    <xf numFmtId="0" fontId="9" fillId="0" borderId="0" xfId="47" applyFont="1" applyFill="1" applyBorder="1" applyAlignment="1">
      <alignment horizontal="center" vertical="center"/>
      <protection/>
    </xf>
    <xf numFmtId="0" fontId="9" fillId="0" borderId="0" xfId="47" applyFont="1" applyFill="1" applyBorder="1" applyAlignment="1">
      <alignment/>
      <protection/>
    </xf>
    <xf numFmtId="0" fontId="9" fillId="0" borderId="0" xfId="47" applyFont="1" applyFill="1" applyBorder="1" applyAlignment="1">
      <alignment horizontal="left"/>
      <protection/>
    </xf>
    <xf numFmtId="0" fontId="4" fillId="0" borderId="0" xfId="47" applyFont="1" applyFill="1" applyAlignment="1">
      <alignment vertical="center"/>
      <protection/>
    </xf>
    <xf numFmtId="0" fontId="4" fillId="0" borderId="0" xfId="47" applyFont="1" applyFill="1" applyAlignment="1">
      <alignment horizontal="center" vertical="center"/>
      <protection/>
    </xf>
    <xf numFmtId="0" fontId="4" fillId="0" borderId="0" xfId="47" applyFont="1" applyFill="1" applyBorder="1" applyAlignment="1">
      <alignment vertical="center"/>
      <protection/>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10" xfId="0" applyFont="1" applyFill="1" applyBorder="1" applyAlignment="1">
      <alignment horizontal="right" vertical="center" wrapText="1"/>
    </xf>
    <xf numFmtId="0" fontId="13" fillId="0" borderId="15" xfId="0" applyFont="1" applyFill="1" applyBorder="1" applyAlignment="1">
      <alignment horizontal="center" vertical="center"/>
    </xf>
    <xf numFmtId="0" fontId="13" fillId="0" borderId="24" xfId="0" applyFont="1" applyFill="1" applyBorder="1" applyAlignment="1">
      <alignment horizontal="center" vertical="center"/>
    </xf>
    <xf numFmtId="0" fontId="9" fillId="0" borderId="25" xfId="0" applyFont="1" applyFill="1" applyBorder="1" applyAlignment="1">
      <alignment horizontal="center" vertical="center" wrapText="1"/>
    </xf>
    <xf numFmtId="2" fontId="9" fillId="0" borderId="25" xfId="0" applyNumberFormat="1" applyFont="1" applyFill="1" applyBorder="1" applyAlignment="1">
      <alignment horizontal="center" vertical="center"/>
    </xf>
    <xf numFmtId="0" fontId="9" fillId="0" borderId="14" xfId="0" applyFont="1" applyFill="1" applyBorder="1" applyAlignment="1">
      <alignment horizontal="left" vertical="center"/>
    </xf>
    <xf numFmtId="0" fontId="2" fillId="0" borderId="0" xfId="47">
      <alignment/>
      <protection/>
    </xf>
    <xf numFmtId="2" fontId="9" fillId="0" borderId="10" xfId="0" applyNumberFormat="1" applyFont="1" applyFill="1" applyBorder="1" applyAlignment="1">
      <alignment horizontal="center" vertical="center"/>
    </xf>
    <xf numFmtId="2" fontId="9" fillId="0" borderId="10" xfId="0" applyNumberFormat="1" applyFont="1" applyFill="1" applyBorder="1" applyAlignment="1">
      <alignment vertical="center"/>
    </xf>
    <xf numFmtId="0" fontId="14" fillId="0" borderId="10" xfId="0" applyFont="1" applyFill="1" applyBorder="1" applyAlignment="1">
      <alignment horizontal="center" vertical="center"/>
    </xf>
    <xf numFmtId="0" fontId="14" fillId="0" borderId="0" xfId="0" applyFont="1" applyFill="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2" fontId="15" fillId="0" borderId="10" xfId="0" applyNumberFormat="1" applyFont="1" applyFill="1" applyBorder="1" applyAlignment="1">
      <alignment horizontal="center" vertical="center" wrapText="1"/>
    </xf>
    <xf numFmtId="2" fontId="15" fillId="0" borderId="10" xfId="0" applyNumberFormat="1" applyFont="1" applyFill="1" applyBorder="1" applyAlignment="1">
      <alignment vertical="center"/>
    </xf>
    <xf numFmtId="0" fontId="15" fillId="0" borderId="0" xfId="0" applyFont="1" applyFill="1" applyAlignment="1">
      <alignment/>
    </xf>
    <xf numFmtId="0" fontId="15" fillId="0" borderId="14" xfId="0" applyFont="1" applyFill="1" applyBorder="1" applyAlignment="1">
      <alignment horizontal="center" vertical="center" wrapText="1"/>
    </xf>
    <xf numFmtId="2" fontId="9" fillId="0" borderId="14" xfId="0" applyNumberFormat="1" applyFont="1" applyFill="1" applyBorder="1" applyAlignment="1">
      <alignment horizontal="center" vertical="center"/>
    </xf>
    <xf numFmtId="2" fontId="15" fillId="0" borderId="14" xfId="0" applyNumberFormat="1" applyFont="1" applyFill="1" applyBorder="1" applyAlignment="1">
      <alignment vertical="center"/>
    </xf>
    <xf numFmtId="2" fontId="15" fillId="0" borderId="14" xfId="0" applyNumberFormat="1" applyFont="1" applyFill="1" applyBorder="1" applyAlignment="1">
      <alignment horizontal="center" vertical="center" wrapText="1"/>
    </xf>
    <xf numFmtId="2" fontId="9" fillId="0" borderId="14" xfId="0" applyNumberFormat="1" applyFont="1" applyFill="1" applyBorder="1" applyAlignment="1">
      <alignment vertical="center"/>
    </xf>
    <xf numFmtId="0" fontId="15" fillId="0" borderId="14"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14" xfId="0" applyFont="1" applyFill="1" applyBorder="1" applyAlignment="1">
      <alignment horizontal="center" vertical="center" wrapText="1"/>
    </xf>
    <xf numFmtId="2" fontId="14" fillId="0" borderId="10" xfId="0" applyNumberFormat="1" applyFont="1" applyFill="1" applyBorder="1" applyAlignment="1">
      <alignment horizontal="center" vertical="center"/>
    </xf>
    <xf numFmtId="0" fontId="15" fillId="0" borderId="10" xfId="0" applyFont="1" applyFill="1" applyBorder="1" applyAlignment="1">
      <alignment horizontal="right" vertical="center" wrapText="1"/>
    </xf>
    <xf numFmtId="0" fontId="11"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0" xfId="0" applyFont="1" applyFill="1" applyAlignment="1">
      <alignment/>
    </xf>
    <xf numFmtId="0" fontId="11" fillId="0" borderId="10" xfId="0" applyFont="1" applyFill="1" applyBorder="1" applyAlignment="1">
      <alignment horizontal="center" vertical="center" wrapText="1"/>
    </xf>
    <xf numFmtId="4" fontId="9" fillId="0" borderId="10" xfId="0" applyNumberFormat="1" applyFont="1" applyFill="1" applyBorder="1" applyAlignment="1">
      <alignmen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0" xfId="0" applyFont="1" applyFill="1" applyAlignment="1">
      <alignment horizontal="center" vertical="center"/>
    </xf>
    <xf numFmtId="0" fontId="16"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Alignment="1">
      <alignment horizontal="center" vertical="center"/>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right" vertical="center" wrapText="1"/>
      <protection/>
    </xf>
    <xf numFmtId="0" fontId="11" fillId="0" borderId="18" xfId="0" applyNumberFormat="1" applyFont="1" applyFill="1" applyBorder="1" applyAlignment="1" applyProtection="1">
      <alignment horizontal="center" vertical="center"/>
      <protection/>
    </xf>
    <xf numFmtId="2" fontId="9" fillId="0" borderId="18" xfId="0" applyNumberFormat="1" applyFont="1" applyFill="1" applyBorder="1" applyAlignment="1">
      <alignment horizontal="center" vertical="center"/>
    </xf>
    <xf numFmtId="2" fontId="11" fillId="0" borderId="18" xfId="0" applyNumberFormat="1" applyFont="1" applyFill="1" applyBorder="1" applyAlignment="1" applyProtection="1">
      <alignment horizontal="center" vertical="center"/>
      <protection/>
    </xf>
    <xf numFmtId="2" fontId="11" fillId="0" borderId="2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19" fillId="0" borderId="0" xfId="61" applyFont="1" applyBorder="1" applyAlignment="1">
      <alignment horizontal="center" vertical="top"/>
      <protection/>
    </xf>
    <xf numFmtId="0" fontId="19" fillId="0" borderId="0" xfId="61" applyFont="1" applyAlignment="1">
      <alignment horizontal="center"/>
      <protection/>
    </xf>
    <xf numFmtId="0" fontId="2" fillId="0" borderId="0" xfId="61" applyFont="1">
      <alignment/>
      <protection/>
    </xf>
    <xf numFmtId="0" fontId="21" fillId="0" borderId="0" xfId="61" applyFont="1" applyBorder="1" applyAlignment="1">
      <alignment horizontal="left"/>
      <protection/>
    </xf>
    <xf numFmtId="0" fontId="1" fillId="0" borderId="0" xfId="47" applyFont="1">
      <alignment/>
      <protection/>
    </xf>
    <xf numFmtId="0" fontId="23" fillId="0" borderId="0" xfId="61" applyFont="1" applyBorder="1" applyAlignment="1">
      <alignment horizontal="center" vertical="center"/>
      <protection/>
    </xf>
    <xf numFmtId="0" fontId="1" fillId="0" borderId="0" xfId="47" applyFont="1" applyFill="1" applyBorder="1">
      <alignment/>
      <protection/>
    </xf>
    <xf numFmtId="0" fontId="20" fillId="0" borderId="0" xfId="61" applyFont="1">
      <alignment/>
      <protection/>
    </xf>
    <xf numFmtId="0" fontId="20" fillId="0" borderId="0" xfId="61" applyFont="1" applyBorder="1" applyAlignment="1">
      <alignment horizontal="left" vertical="center"/>
      <protection/>
    </xf>
    <xf numFmtId="0" fontId="25" fillId="0" borderId="0" xfId="61" applyFont="1" applyBorder="1">
      <alignment/>
      <protection/>
    </xf>
    <xf numFmtId="0" fontId="25" fillId="0" borderId="0" xfId="61" applyFont="1" applyAlignment="1">
      <alignment horizontal="right"/>
      <protection/>
    </xf>
    <xf numFmtId="0" fontId="25" fillId="0" borderId="14" xfId="61" applyFont="1" applyBorder="1" applyAlignment="1">
      <alignment horizontal="center" vertical="top" wrapText="1"/>
      <protection/>
    </xf>
    <xf numFmtId="0" fontId="2" fillId="0" borderId="0" xfId="47" applyFill="1">
      <alignment/>
      <protection/>
    </xf>
    <xf numFmtId="49" fontId="25" fillId="0" borderId="14" xfId="61" applyNumberFormat="1" applyFont="1" applyBorder="1" applyAlignment="1">
      <alignment horizontal="center" vertical="center" wrapText="1"/>
      <protection/>
    </xf>
    <xf numFmtId="49" fontId="20" fillId="0" borderId="14" xfId="61" applyNumberFormat="1" applyFont="1" applyBorder="1" applyAlignment="1">
      <alignment horizontal="center" vertical="center"/>
      <protection/>
    </xf>
    <xf numFmtId="0" fontId="24" fillId="0" borderId="14" xfId="69" applyFont="1" applyBorder="1" applyAlignment="1">
      <alignment horizontal="left" vertical="center" wrapText="1"/>
      <protection/>
    </xf>
    <xf numFmtId="4" fontId="20" fillId="0" borderId="14" xfId="69" applyNumberFormat="1" applyFont="1" applyBorder="1" applyAlignment="1">
      <alignment horizontal="center" vertical="center" wrapText="1"/>
      <protection/>
    </xf>
    <xf numFmtId="0" fontId="25" fillId="0" borderId="14" xfId="61" applyFont="1" applyBorder="1" applyAlignment="1">
      <alignment horizontal="center" vertical="center"/>
      <protection/>
    </xf>
    <xf numFmtId="0" fontId="26" fillId="0" borderId="14" xfId="61" applyFont="1" applyBorder="1" applyAlignment="1">
      <alignment vertical="center"/>
      <protection/>
    </xf>
    <xf numFmtId="49" fontId="26" fillId="0" borderId="14" xfId="61" applyNumberFormat="1" applyFont="1" applyBorder="1" applyAlignment="1">
      <alignment horizontal="center" vertical="center"/>
      <protection/>
    </xf>
    <xf numFmtId="0" fontId="27" fillId="0" borderId="14" xfId="69" applyFont="1" applyBorder="1" applyAlignment="1">
      <alignment horizontal="right" vertical="center"/>
      <protection/>
    </xf>
    <xf numFmtId="4" fontId="26" fillId="0" borderId="14" xfId="69" applyNumberFormat="1" applyFont="1" applyBorder="1" applyAlignment="1">
      <alignment horizontal="center" vertical="center" wrapText="1"/>
      <protection/>
    </xf>
    <xf numFmtId="4" fontId="25" fillId="0" borderId="14" xfId="61" applyNumberFormat="1" applyFont="1" applyBorder="1" applyAlignment="1">
      <alignment horizontal="center" vertical="center"/>
      <protection/>
    </xf>
    <xf numFmtId="4" fontId="26" fillId="0" borderId="14" xfId="61" applyNumberFormat="1" applyFont="1" applyBorder="1" applyAlignment="1">
      <alignment horizontal="center" vertical="center"/>
      <protection/>
    </xf>
    <xf numFmtId="0" fontId="2" fillId="0" borderId="0" xfId="61" applyFont="1" applyBorder="1" applyAlignment="1">
      <alignment vertical="center"/>
      <protection/>
    </xf>
    <xf numFmtId="0" fontId="2" fillId="0" borderId="0" xfId="61" applyFont="1" applyBorder="1">
      <alignment/>
      <protection/>
    </xf>
    <xf numFmtId="0" fontId="20" fillId="0" borderId="26" xfId="61" applyFont="1" applyBorder="1" applyAlignment="1">
      <alignment horizontal="center"/>
      <protection/>
    </xf>
    <xf numFmtId="0" fontId="20" fillId="0" borderId="0" xfId="61" applyFont="1" applyAlignment="1">
      <alignment horizontal="center"/>
      <protection/>
    </xf>
    <xf numFmtId="0" fontId="20" fillId="0" borderId="0" xfId="61" applyFont="1" applyBorder="1">
      <alignment/>
      <protection/>
    </xf>
    <xf numFmtId="0" fontId="19" fillId="0" borderId="0" xfId="61" applyFont="1" applyAlignment="1">
      <alignment horizontal="center" vertical="top"/>
      <protection/>
    </xf>
    <xf numFmtId="0" fontId="20" fillId="0" borderId="0" xfId="61" applyFont="1" applyAlignment="1">
      <alignment horizontal="center" vertical="top"/>
      <protection/>
    </xf>
    <xf numFmtId="0" fontId="20" fillId="0" borderId="0" xfId="61" applyFont="1" applyAlignment="1">
      <alignment horizontal="right"/>
      <protection/>
    </xf>
    <xf numFmtId="0" fontId="20" fillId="0" borderId="0" xfId="61" applyFont="1" applyBorder="1" applyAlignment="1">
      <alignment horizontal="center"/>
      <protection/>
    </xf>
    <xf numFmtId="0" fontId="2" fillId="0" borderId="26" xfId="0" applyFont="1" applyBorder="1" applyAlignment="1">
      <alignment/>
    </xf>
    <xf numFmtId="0" fontId="2" fillId="0" borderId="0" xfId="0" applyFont="1" applyAlignment="1">
      <alignment/>
    </xf>
    <xf numFmtId="0" fontId="18" fillId="0" borderId="0" xfId="0" applyFont="1" applyAlignment="1">
      <alignment horizontal="right" vertical="top" wrapText="1"/>
    </xf>
    <xf numFmtId="0" fontId="18" fillId="0" borderId="0" xfId="0" applyFont="1" applyAlignment="1">
      <alignment horizontal="center" vertical="top" wrapText="1"/>
    </xf>
    <xf numFmtId="0" fontId="2" fillId="0" borderId="0" xfId="47" applyFont="1" applyFill="1">
      <alignment/>
      <protection/>
    </xf>
    <xf numFmtId="0" fontId="18" fillId="0" borderId="0" xfId="47" applyFont="1" applyFill="1" applyBorder="1" applyAlignment="1">
      <alignment/>
      <protection/>
    </xf>
    <xf numFmtId="0" fontId="18" fillId="0" borderId="0" xfId="47" applyFont="1" applyFill="1" applyAlignment="1">
      <alignment/>
      <protection/>
    </xf>
    <xf numFmtId="0" fontId="18" fillId="0" borderId="0" xfId="47" applyFont="1" applyFill="1">
      <alignment/>
      <protection/>
    </xf>
    <xf numFmtId="4" fontId="31" fillId="0" borderId="0" xfId="47" applyNumberFormat="1" applyFont="1" applyFill="1" applyAlignment="1">
      <alignment horizontal="center"/>
      <protection/>
    </xf>
    <xf numFmtId="0" fontId="20" fillId="0" borderId="0" xfId="47" applyFont="1" applyFill="1" applyAlignment="1">
      <alignment/>
      <protection/>
    </xf>
    <xf numFmtId="0" fontId="20" fillId="0" borderId="0" xfId="47" applyFont="1" applyFill="1">
      <alignment/>
      <protection/>
    </xf>
    <xf numFmtId="2" fontId="31" fillId="0" borderId="0" xfId="47" applyNumberFormat="1" applyFont="1" applyFill="1" applyAlignment="1">
      <alignment horizontal="center"/>
      <protection/>
    </xf>
    <xf numFmtId="0" fontId="2" fillId="0" borderId="0" xfId="47" applyFont="1" applyFill="1" applyBorder="1" applyAlignment="1">
      <alignment horizontal="center"/>
      <protection/>
    </xf>
    <xf numFmtId="0" fontId="23" fillId="0" borderId="14" xfId="47" applyFont="1" applyFill="1" applyBorder="1" applyAlignment="1">
      <alignment horizontal="center" vertical="center" wrapText="1"/>
      <protection/>
    </xf>
    <xf numFmtId="0" fontId="20" fillId="0" borderId="14" xfId="47" applyFont="1" applyFill="1" applyBorder="1" applyAlignment="1">
      <alignment horizontal="center" vertical="center"/>
      <protection/>
    </xf>
    <xf numFmtId="0" fontId="20" fillId="0" borderId="14" xfId="47" applyFont="1" applyFill="1" applyBorder="1" applyAlignment="1">
      <alignment horizontal="left" vertical="center" wrapText="1"/>
      <protection/>
    </xf>
    <xf numFmtId="2" fontId="20" fillId="0" borderId="14" xfId="47" applyNumberFormat="1" applyFont="1" applyFill="1" applyBorder="1" applyAlignment="1">
      <alignment horizontal="center" vertical="center" wrapText="1"/>
      <protection/>
    </xf>
    <xf numFmtId="0" fontId="20" fillId="0" borderId="0" xfId="47" applyFont="1" applyFill="1" applyAlignment="1">
      <alignment vertical="center" wrapText="1"/>
      <protection/>
    </xf>
    <xf numFmtId="0" fontId="20" fillId="0" borderId="14" xfId="47" applyFont="1" applyFill="1" applyBorder="1" applyAlignment="1">
      <alignment vertical="center" wrapText="1"/>
      <protection/>
    </xf>
    <xf numFmtId="0" fontId="2" fillId="0" borderId="14" xfId="47" applyFont="1" applyFill="1" applyBorder="1" applyAlignment="1">
      <alignment horizontal="center" vertical="center"/>
      <protection/>
    </xf>
    <xf numFmtId="0" fontId="2" fillId="0" borderId="14" xfId="47" applyFont="1" applyFill="1" applyBorder="1" applyAlignment="1">
      <alignment horizontal="left" vertical="center" wrapText="1"/>
      <protection/>
    </xf>
    <xf numFmtId="2" fontId="2" fillId="0" borderId="14" xfId="47" applyNumberFormat="1" applyFont="1" applyFill="1" applyBorder="1" applyAlignment="1">
      <alignment horizontal="center" vertical="center" wrapText="1"/>
      <protection/>
    </xf>
    <xf numFmtId="4" fontId="23" fillId="0" borderId="14" xfId="47" applyNumberFormat="1" applyFont="1" applyFill="1" applyBorder="1" applyAlignment="1">
      <alignment horizontal="center" vertical="center"/>
      <protection/>
    </xf>
    <xf numFmtId="4" fontId="20" fillId="0" borderId="12" xfId="47" applyNumberFormat="1" applyFont="1" applyFill="1" applyBorder="1" applyAlignment="1">
      <alignment horizontal="center" vertical="center" wrapText="1"/>
      <protection/>
    </xf>
    <xf numFmtId="4" fontId="20" fillId="0" borderId="0" xfId="47" applyNumberFormat="1" applyFont="1" applyFill="1" applyBorder="1" applyAlignment="1">
      <alignment horizontal="center" vertical="center" wrapText="1"/>
      <protection/>
    </xf>
    <xf numFmtId="0" fontId="2" fillId="0" borderId="0" xfId="47" applyFont="1" applyFill="1" applyAlignment="1">
      <alignment vertical="center" wrapText="1"/>
      <protection/>
    </xf>
    <xf numFmtId="4" fontId="20" fillId="0" borderId="10" xfId="47" applyNumberFormat="1" applyFont="1" applyFill="1" applyBorder="1" applyAlignment="1">
      <alignment horizontal="center" vertical="center" wrapText="1"/>
      <protection/>
    </xf>
    <xf numFmtId="4" fontId="23" fillId="0" borderId="10" xfId="47" applyNumberFormat="1" applyFont="1" applyFill="1" applyBorder="1" applyAlignment="1">
      <alignment horizontal="center" vertical="center" wrapText="1"/>
      <protection/>
    </xf>
    <xf numFmtId="4" fontId="23" fillId="0" borderId="0" xfId="47" applyNumberFormat="1" applyFont="1" applyFill="1" applyBorder="1" applyAlignment="1">
      <alignment vertical="center" wrapText="1"/>
      <protection/>
    </xf>
    <xf numFmtId="4" fontId="23" fillId="0" borderId="0" xfId="47" applyNumberFormat="1" applyFont="1" applyFill="1" applyBorder="1" applyAlignment="1">
      <alignment horizontal="center" vertical="center" wrapText="1"/>
      <protection/>
    </xf>
    <xf numFmtId="0" fontId="20" fillId="0" borderId="0" xfId="47" applyFont="1" applyFill="1" applyBorder="1" applyAlignment="1">
      <alignment horizontal="center"/>
      <protection/>
    </xf>
    <xf numFmtId="0" fontId="20" fillId="0" borderId="0" xfId="47" applyFont="1" applyFill="1" applyBorder="1" applyAlignment="1">
      <alignment/>
      <protection/>
    </xf>
    <xf numFmtId="0" fontId="2" fillId="0" borderId="0" xfId="47" applyFont="1" applyFill="1" applyBorder="1" applyAlignment="1">
      <alignment horizontal="left" vertical="center"/>
      <protection/>
    </xf>
    <xf numFmtId="0" fontId="20" fillId="0" borderId="0" xfId="47" applyFont="1" applyFill="1" applyAlignment="1">
      <alignment vertical="center"/>
      <protection/>
    </xf>
    <xf numFmtId="0" fontId="2" fillId="0" borderId="0" xfId="47" applyFont="1" applyFill="1" applyBorder="1" applyAlignment="1">
      <alignment vertical="center"/>
      <protection/>
    </xf>
    <xf numFmtId="0" fontId="2" fillId="0" borderId="0" xfId="47" applyFont="1" applyFill="1" applyBorder="1" applyAlignment="1">
      <alignment horizontal="center" vertical="center"/>
      <protection/>
    </xf>
    <xf numFmtId="0" fontId="9" fillId="0" borderId="14" xfId="0" applyFont="1" applyFill="1" applyBorder="1" applyAlignment="1">
      <alignment horizontal="left" vertical="center"/>
    </xf>
    <xf numFmtId="0" fontId="9" fillId="0" borderId="0" xfId="0" applyFont="1" applyFill="1" applyAlignment="1">
      <alignment horizontal="left" vertical="center" wrapText="1"/>
    </xf>
    <xf numFmtId="0" fontId="9" fillId="0" borderId="14" xfId="0" applyFont="1" applyFill="1" applyBorder="1" applyAlignment="1">
      <alignment horizontal="center" vertical="center"/>
    </xf>
    <xf numFmtId="2" fontId="9" fillId="0" borderId="14" xfId="47" applyNumberFormat="1" applyFont="1" applyFill="1" applyBorder="1" applyAlignment="1">
      <alignment horizontal="center" vertical="center"/>
      <protection/>
    </xf>
    <xf numFmtId="0" fontId="9" fillId="0" borderId="14" xfId="0" applyFont="1" applyFill="1" applyBorder="1" applyAlignment="1">
      <alignment horizontal="right" vertical="center" wrapText="1"/>
    </xf>
    <xf numFmtId="0" fontId="15" fillId="0" borderId="14" xfId="0" applyFont="1" applyFill="1" applyBorder="1" applyAlignment="1">
      <alignment horizontal="center" vertical="center" wrapText="1"/>
    </xf>
    <xf numFmtId="2" fontId="15" fillId="0" borderId="14" xfId="0" applyNumberFormat="1" applyFont="1" applyFill="1" applyBorder="1" applyAlignment="1">
      <alignment horizontal="center" vertical="center" wrapText="1"/>
    </xf>
    <xf numFmtId="2" fontId="15" fillId="0" borderId="14" xfId="0" applyNumberFormat="1" applyFont="1" applyFill="1" applyBorder="1" applyAlignment="1">
      <alignment horizontal="center" vertical="center"/>
    </xf>
    <xf numFmtId="0" fontId="9" fillId="0" borderId="10" xfId="0" applyFont="1" applyFill="1" applyBorder="1" applyAlignment="1">
      <alignment vertical="center" wrapText="1"/>
    </xf>
    <xf numFmtId="2" fontId="9" fillId="0" borderId="10" xfId="69" applyNumberFormat="1" applyFont="1" applyFill="1" applyBorder="1" applyAlignment="1">
      <alignment horizontal="center" vertical="center" wrapText="1"/>
      <protection/>
    </xf>
    <xf numFmtId="0" fontId="11" fillId="0" borderId="0" xfId="0" applyFont="1" applyFill="1" applyAlignment="1">
      <alignment wrapText="1"/>
    </xf>
    <xf numFmtId="2" fontId="9" fillId="0" borderId="14" xfId="69" applyNumberFormat="1" applyFont="1" applyFill="1" applyBorder="1" applyAlignment="1">
      <alignment horizontal="center" vertical="center" wrapText="1"/>
      <protection/>
    </xf>
    <xf numFmtId="0" fontId="9" fillId="0" borderId="0" xfId="0" applyFont="1" applyFill="1" applyAlignment="1">
      <alignment vertical="center"/>
    </xf>
    <xf numFmtId="4" fontId="9" fillId="0" borderId="14" xfId="69" applyNumberFormat="1" applyFont="1" applyFill="1" applyBorder="1" applyAlignment="1">
      <alignment horizontal="right" vertical="center"/>
      <protection/>
    </xf>
    <xf numFmtId="0" fontId="15" fillId="0" borderId="14" xfId="0" applyFont="1" applyFill="1" applyBorder="1" applyAlignment="1">
      <alignment horizontal="left" vertical="center" wrapText="1"/>
    </xf>
    <xf numFmtId="0" fontId="20" fillId="0" borderId="14" xfId="69" applyFont="1" applyBorder="1" applyAlignment="1">
      <alignment horizontal="left" vertical="center" wrapText="1"/>
      <protection/>
    </xf>
    <xf numFmtId="0" fontId="15" fillId="0" borderId="12" xfId="0" applyFont="1" applyFill="1" applyBorder="1" applyAlignment="1">
      <alignment horizontal="center" vertical="center" wrapText="1"/>
    </xf>
    <xf numFmtId="2" fontId="15"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xf>
    <xf numFmtId="2" fontId="9" fillId="0" borderId="12" xfId="0" applyNumberFormat="1" applyFont="1" applyFill="1" applyBorder="1" applyAlignment="1">
      <alignment vertical="center"/>
    </xf>
    <xf numFmtId="2" fontId="4" fillId="0" borderId="14" xfId="69" applyNumberFormat="1" applyFont="1" applyFill="1" applyBorder="1" applyAlignment="1">
      <alignment horizontal="center" vertical="center" wrapText="1"/>
      <protection/>
    </xf>
    <xf numFmtId="2" fontId="4" fillId="0" borderId="14" xfId="0" applyNumberFormat="1" applyFont="1" applyFill="1" applyBorder="1" applyAlignment="1">
      <alignment horizontal="center" vertical="center"/>
    </xf>
    <xf numFmtId="2" fontId="14" fillId="0" borderId="10" xfId="0" applyNumberFormat="1" applyFont="1" applyFill="1" applyBorder="1" applyAlignment="1">
      <alignment horizontal="center" vertical="center"/>
    </xf>
    <xf numFmtId="0" fontId="20" fillId="0" borderId="14" xfId="60" applyFont="1" applyFill="1" applyBorder="1" applyAlignment="1">
      <alignment horizontal="center" vertical="center"/>
      <protection/>
    </xf>
    <xf numFmtId="0" fontId="36" fillId="0" borderId="14" xfId="65" applyFont="1" applyBorder="1" applyAlignment="1" applyProtection="1">
      <alignment horizontal="center" vertical="center" wrapText="1"/>
      <protection/>
    </xf>
    <xf numFmtId="0" fontId="2" fillId="0" borderId="0" xfId="0" applyFont="1" applyAlignment="1">
      <alignment/>
    </xf>
    <xf numFmtId="0" fontId="9" fillId="0" borderId="14" xfId="60" applyFont="1" applyFill="1" applyBorder="1" applyAlignment="1">
      <alignment horizontal="right" vertical="center" wrapText="1"/>
      <protection/>
    </xf>
    <xf numFmtId="0" fontId="9" fillId="0" borderId="14" xfId="60" applyFont="1" applyFill="1" applyBorder="1" applyAlignment="1">
      <alignment horizontal="center" vertical="center"/>
      <protection/>
    </xf>
    <xf numFmtId="2" fontId="9" fillId="0" borderId="14" xfId="60" applyNumberFormat="1" applyFont="1" applyFill="1" applyBorder="1" applyAlignment="1">
      <alignment horizontal="center" vertical="center"/>
      <protection/>
    </xf>
    <xf numFmtId="2" fontId="9" fillId="0" borderId="14" xfId="0" applyNumberFormat="1" applyFont="1" applyBorder="1" applyAlignment="1">
      <alignment horizontal="center" vertical="center"/>
    </xf>
    <xf numFmtId="2" fontId="15" fillId="0" borderId="14" xfId="0" applyNumberFormat="1" applyFont="1" applyFill="1" applyBorder="1" applyAlignment="1">
      <alignment horizontal="center" vertical="center"/>
    </xf>
    <xf numFmtId="2" fontId="15" fillId="0" borderId="12"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5" fillId="0" borderId="12"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7" xfId="0" applyFont="1" applyFill="1" applyBorder="1" applyAlignment="1">
      <alignment horizontal="center" vertical="center"/>
    </xf>
    <xf numFmtId="0" fontId="16" fillId="0" borderId="0" xfId="0" applyFont="1" applyFill="1" applyAlignment="1">
      <alignment wrapText="1"/>
    </xf>
    <xf numFmtId="0" fontId="9" fillId="0" borderId="28" xfId="60" applyFont="1" applyFill="1" applyBorder="1" applyAlignment="1">
      <alignment horizontal="center" vertical="center"/>
      <protection/>
    </xf>
    <xf numFmtId="2" fontId="9" fillId="0" borderId="28" xfId="60" applyNumberFormat="1" applyFont="1" applyFill="1" applyBorder="1" applyAlignment="1">
      <alignment horizontal="center" vertical="center"/>
      <protection/>
    </xf>
    <xf numFmtId="0" fontId="9" fillId="0" borderId="15" xfId="0" applyFont="1" applyFill="1" applyBorder="1" applyAlignment="1">
      <alignment horizontal="right" vertical="center" wrapText="1"/>
    </xf>
    <xf numFmtId="2" fontId="9" fillId="0" borderId="15" xfId="0" applyNumberFormat="1" applyFont="1" applyFill="1" applyBorder="1" applyAlignment="1">
      <alignment horizontal="center" vertical="center" wrapText="1"/>
    </xf>
    <xf numFmtId="2" fontId="9" fillId="0" borderId="15" xfId="0" applyNumberFormat="1" applyFont="1" applyFill="1" applyBorder="1" applyAlignment="1">
      <alignment vertical="center"/>
    </xf>
    <xf numFmtId="0" fontId="11" fillId="0" borderId="29" xfId="0" applyNumberFormat="1" applyFont="1" applyFill="1" applyBorder="1" applyAlignment="1" applyProtection="1">
      <alignment horizontal="center" vertical="center" wrapText="1"/>
      <protection/>
    </xf>
    <xf numFmtId="0" fontId="11" fillId="0" borderId="30" xfId="0" applyNumberFormat="1" applyFont="1" applyFill="1" applyBorder="1" applyAlignment="1" applyProtection="1">
      <alignment horizontal="center" vertical="center" wrapText="1"/>
      <protection/>
    </xf>
    <xf numFmtId="0" fontId="11" fillId="0" borderId="31" xfId="0" applyNumberFormat="1" applyFont="1" applyFill="1" applyBorder="1" applyAlignment="1" applyProtection="1">
      <alignment horizontal="right" vertical="center" wrapText="1"/>
      <protection/>
    </xf>
    <xf numFmtId="2" fontId="11" fillId="0" borderId="30" xfId="0" applyNumberFormat="1" applyFont="1" applyFill="1" applyBorder="1" applyAlignment="1" applyProtection="1">
      <alignment horizontal="center" vertical="center" wrapText="1"/>
      <protection/>
    </xf>
    <xf numFmtId="2" fontId="11" fillId="0" borderId="30" xfId="0" applyNumberFormat="1" applyFont="1" applyFill="1" applyBorder="1" applyAlignment="1" applyProtection="1">
      <alignment horizontal="center" vertical="center"/>
      <protection/>
    </xf>
    <xf numFmtId="2" fontId="9" fillId="0" borderId="30" xfId="0" applyNumberFormat="1" applyFont="1" applyFill="1" applyBorder="1" applyAlignment="1">
      <alignment horizontal="center" vertical="center"/>
    </xf>
    <xf numFmtId="2" fontId="11" fillId="0" borderId="32" xfId="0" applyNumberFormat="1" applyFont="1" applyFill="1" applyBorder="1" applyAlignment="1" applyProtection="1">
      <alignment horizontal="center" vertical="center"/>
      <protection/>
    </xf>
    <xf numFmtId="4" fontId="9" fillId="0" borderId="33" xfId="69" applyNumberFormat="1" applyFont="1" applyFill="1" applyBorder="1" applyAlignment="1">
      <alignment horizontal="right" vertical="center"/>
      <protection/>
    </xf>
    <xf numFmtId="4" fontId="11" fillId="0" borderId="34" xfId="69" applyNumberFormat="1" applyFont="1" applyFill="1" applyBorder="1" applyAlignment="1">
      <alignment horizontal="right" vertical="center"/>
      <protection/>
    </xf>
    <xf numFmtId="4" fontId="11" fillId="0" borderId="35" xfId="69" applyNumberFormat="1" applyFont="1" applyFill="1" applyBorder="1" applyAlignment="1">
      <alignment horizontal="right" vertical="center"/>
      <protection/>
    </xf>
    <xf numFmtId="0" fontId="9" fillId="0" borderId="0" xfId="47" applyFont="1" applyFill="1" applyAlignment="1">
      <alignment horizontal="center"/>
      <protection/>
    </xf>
    <xf numFmtId="0" fontId="9" fillId="0" borderId="0" xfId="47" applyFont="1" applyFill="1">
      <alignment/>
      <protection/>
    </xf>
    <xf numFmtId="49" fontId="9" fillId="0" borderId="0" xfId="47" applyNumberFormat="1" applyFont="1" applyFill="1">
      <alignment/>
      <protection/>
    </xf>
    <xf numFmtId="0" fontId="9" fillId="0" borderId="0" xfId="47" applyFont="1" applyFill="1" applyAlignment="1">
      <alignment vertical="center" wrapText="1"/>
      <protection/>
    </xf>
    <xf numFmtId="0" fontId="9" fillId="0" borderId="0" xfId="47" applyFont="1" applyFill="1" applyAlignment="1">
      <alignment vertical="center"/>
      <protection/>
    </xf>
    <xf numFmtId="0" fontId="9" fillId="0" borderId="0" xfId="47" applyFont="1" applyFill="1" applyAlignment="1">
      <alignment horizontal="center" vertical="center"/>
      <protection/>
    </xf>
    <xf numFmtId="0" fontId="9" fillId="0" borderId="0" xfId="47" applyFont="1" applyFill="1" applyBorder="1" applyAlignment="1">
      <alignment vertical="center"/>
      <protection/>
    </xf>
    <xf numFmtId="2" fontId="11" fillId="0" borderId="14" xfId="69" applyNumberFormat="1" applyFont="1" applyFill="1" applyBorder="1" applyAlignment="1">
      <alignment horizontal="center" vertical="center" wrapText="1"/>
      <protection/>
    </xf>
    <xf numFmtId="0" fontId="9" fillId="0" borderId="14" xfId="65" applyFont="1" applyFill="1" applyBorder="1" applyAlignment="1" applyProtection="1">
      <alignment horizontal="center" vertical="center" wrapText="1"/>
      <protection/>
    </xf>
    <xf numFmtId="0" fontId="36" fillId="0" borderId="14" xfId="65" applyFont="1" applyFill="1" applyBorder="1" applyAlignment="1" applyProtection="1">
      <alignment horizontal="center" vertical="center" wrapText="1"/>
      <protection/>
    </xf>
    <xf numFmtId="2" fontId="15" fillId="0" borderId="10" xfId="0" applyNumberFormat="1" applyFont="1" applyFill="1" applyBorder="1" applyAlignment="1">
      <alignment horizontal="center" vertical="center" wrapText="1"/>
    </xf>
    <xf numFmtId="1" fontId="36" fillId="0" borderId="14" xfId="64" applyNumberFormat="1" applyFont="1" applyBorder="1" applyAlignment="1" applyProtection="1">
      <alignment vertical="center" wrapText="1"/>
      <protection/>
    </xf>
    <xf numFmtId="0" fontId="9" fillId="0" borderId="10" xfId="0" applyFont="1" applyFill="1" applyBorder="1" applyAlignment="1">
      <alignment horizontal="center" vertical="center"/>
    </xf>
    <xf numFmtId="0" fontId="11" fillId="0" borderId="10" xfId="0" applyFont="1" applyFill="1" applyBorder="1" applyAlignment="1">
      <alignment vertical="center" wrapText="1"/>
    </xf>
    <xf numFmtId="2" fontId="15" fillId="0" borderId="14" xfId="0" applyNumberFormat="1" applyFont="1" applyFill="1" applyBorder="1" applyAlignment="1">
      <alignment vertical="center"/>
    </xf>
    <xf numFmtId="0" fontId="15"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4" xfId="60" applyFont="1" applyFill="1" applyBorder="1" applyAlignment="1">
      <alignment vertical="center" wrapText="1"/>
      <protection/>
    </xf>
    <xf numFmtId="0" fontId="9" fillId="0" borderId="14" xfId="60" applyFont="1" applyFill="1" applyBorder="1" applyAlignment="1">
      <alignment horizontal="left" vertical="center" wrapText="1"/>
      <protection/>
    </xf>
    <xf numFmtId="0" fontId="9" fillId="0" borderId="14" xfId="63" applyFont="1" applyFill="1" applyBorder="1" applyAlignment="1">
      <alignment vertical="center" wrapText="1"/>
      <protection/>
    </xf>
    <xf numFmtId="0" fontId="9" fillId="0" borderId="14" xfId="63" applyFont="1" applyFill="1" applyBorder="1" applyAlignment="1">
      <alignment horizontal="right" vertical="center" wrapText="1"/>
      <protection/>
    </xf>
    <xf numFmtId="0" fontId="2" fillId="0" borderId="0" xfId="0" applyFont="1" applyFill="1" applyAlignment="1">
      <alignment/>
    </xf>
    <xf numFmtId="0" fontId="15" fillId="0" borderId="36" xfId="0" applyFont="1" applyFill="1" applyBorder="1" applyAlignment="1">
      <alignment horizontal="center" vertical="center" wrapText="1"/>
    </xf>
    <xf numFmtId="2" fontId="15" fillId="0" borderId="36" xfId="0" applyNumberFormat="1" applyFont="1" applyFill="1" applyBorder="1" applyAlignment="1">
      <alignment horizontal="center" vertical="center" wrapText="1"/>
    </xf>
    <xf numFmtId="0" fontId="12" fillId="0" borderId="14" xfId="0" applyFont="1" applyFill="1" applyBorder="1" applyAlignment="1">
      <alignment horizontal="left" vertical="center" wrapText="1"/>
    </xf>
    <xf numFmtId="0" fontId="0" fillId="0" borderId="15" xfId="0" applyFont="1" applyFill="1" applyBorder="1" applyAlignment="1">
      <alignment horizontal="center" vertical="center"/>
    </xf>
    <xf numFmtId="0" fontId="2" fillId="0" borderId="10"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2" fontId="2" fillId="33" borderId="37" xfId="0" applyNumberFormat="1" applyFont="1" applyFill="1" applyBorder="1" applyAlignment="1">
      <alignment horizontal="center" vertical="center"/>
    </xf>
    <xf numFmtId="2" fontId="2" fillId="33" borderId="14" xfId="0" applyNumberFormat="1" applyFont="1" applyFill="1" applyBorder="1" applyAlignment="1">
      <alignment horizontal="center" vertical="center"/>
    </xf>
    <xf numFmtId="0" fontId="2" fillId="0" borderId="0" xfId="0" applyFont="1" applyAlignment="1">
      <alignment vertical="center"/>
    </xf>
    <xf numFmtId="0" fontId="2" fillId="0"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2" fillId="0" borderId="14" xfId="0" applyFont="1" applyFill="1" applyBorder="1" applyAlignment="1">
      <alignment vertical="center" wrapText="1"/>
    </xf>
    <xf numFmtId="0" fontId="9" fillId="0" borderId="10" xfId="65" applyFont="1" applyFill="1" applyBorder="1" applyAlignment="1" applyProtection="1">
      <alignment horizontal="center" vertical="center" wrapText="1"/>
      <protection/>
    </xf>
    <xf numFmtId="0" fontId="37" fillId="0" borderId="0" xfId="0" applyFont="1" applyFill="1" applyAlignment="1">
      <alignment/>
    </xf>
    <xf numFmtId="0" fontId="9" fillId="0" borderId="10" xfId="0" applyFont="1" applyFill="1" applyBorder="1" applyAlignment="1">
      <alignment horizontal="center"/>
    </xf>
    <xf numFmtId="0" fontId="9" fillId="0" borderId="10" xfId="59" applyFont="1" applyFill="1" applyBorder="1" applyAlignment="1" applyProtection="1">
      <alignment horizontal="center" vertical="center" wrapText="1"/>
      <protection/>
    </xf>
    <xf numFmtId="0" fontId="15" fillId="0" borderId="27" xfId="0" applyFont="1" applyFill="1" applyBorder="1" applyAlignment="1">
      <alignment horizontal="left" vertical="center" wrapText="1"/>
    </xf>
    <xf numFmtId="0" fontId="11" fillId="0" borderId="14" xfId="0" applyFont="1" applyFill="1" applyBorder="1" applyAlignment="1">
      <alignment vertical="center" wrapText="1"/>
    </xf>
    <xf numFmtId="0" fontId="15" fillId="0" borderId="14" xfId="0" applyFont="1" applyFill="1" applyBorder="1" applyAlignment="1">
      <alignment horizontal="left" vertical="center" wrapText="1"/>
    </xf>
    <xf numFmtId="0" fontId="9" fillId="0" borderId="14" xfId="0" applyFont="1" applyFill="1" applyBorder="1" applyAlignment="1">
      <alignment/>
    </xf>
    <xf numFmtId="0" fontId="9" fillId="0" borderId="38" xfId="0" applyFont="1" applyFill="1" applyBorder="1" applyAlignment="1">
      <alignment horizontal="center" vertical="center" wrapText="1"/>
    </xf>
    <xf numFmtId="2" fontId="9" fillId="0" borderId="38" xfId="0" applyNumberFormat="1" applyFont="1" applyFill="1" applyBorder="1" applyAlignment="1">
      <alignment horizontal="center" vertical="center" wrapText="1"/>
    </xf>
    <xf numFmtId="2" fontId="9" fillId="0" borderId="38" xfId="0" applyNumberFormat="1" applyFont="1" applyFill="1" applyBorder="1" applyAlignment="1">
      <alignment horizontal="center" vertical="center"/>
    </xf>
    <xf numFmtId="0" fontId="7" fillId="0" borderId="0" xfId="0" applyFont="1" applyFill="1" applyAlignment="1">
      <alignment horizontal="left"/>
    </xf>
    <xf numFmtId="0" fontId="4" fillId="0" borderId="0" xfId="0" applyFont="1" applyFill="1" applyAlignment="1">
      <alignment/>
    </xf>
    <xf numFmtId="1" fontId="9" fillId="0" borderId="14" xfId="64" applyNumberFormat="1" applyFont="1" applyFill="1" applyBorder="1" applyAlignment="1" applyProtection="1">
      <alignment vertical="center" wrapText="1"/>
      <protection/>
    </xf>
    <xf numFmtId="0" fontId="11" fillId="0" borderId="14" xfId="0" applyFont="1" applyFill="1" applyBorder="1" applyAlignment="1">
      <alignment horizontal="right" vertical="center" wrapText="1"/>
    </xf>
    <xf numFmtId="0" fontId="15" fillId="0" borderId="12" xfId="0" applyFont="1" applyFill="1" applyBorder="1" applyAlignment="1">
      <alignment vertical="center" wrapText="1"/>
    </xf>
    <xf numFmtId="0" fontId="18" fillId="0" borderId="0" xfId="61" applyFont="1" applyBorder="1" applyAlignment="1">
      <alignment horizontal="right"/>
      <protection/>
    </xf>
    <xf numFmtId="0" fontId="18" fillId="0" borderId="0" xfId="61" applyFont="1" applyBorder="1" applyAlignment="1">
      <alignment horizontal="center"/>
      <protection/>
    </xf>
    <xf numFmtId="0" fontId="19" fillId="0" borderId="0" xfId="61" applyFont="1" applyBorder="1" applyAlignment="1">
      <alignment horizontal="center" vertical="top"/>
      <protection/>
    </xf>
    <xf numFmtId="0" fontId="20" fillId="0" borderId="0" xfId="61" applyFont="1" applyBorder="1" applyAlignment="1">
      <alignment horizontal="right"/>
      <protection/>
    </xf>
    <xf numFmtId="0" fontId="22" fillId="0" borderId="0" xfId="61" applyFont="1" applyBorder="1" applyAlignment="1">
      <alignment horizontal="center" vertical="center"/>
      <protection/>
    </xf>
    <xf numFmtId="0" fontId="20" fillId="0" borderId="0" xfId="69" applyFont="1" applyBorder="1" applyAlignment="1">
      <alignment horizontal="left" vertical="center" wrapText="1"/>
      <protection/>
    </xf>
    <xf numFmtId="0" fontId="24" fillId="0" borderId="0" xfId="69" applyFont="1" applyBorder="1" applyAlignment="1">
      <alignment horizontal="left" vertical="center" wrapText="1"/>
      <protection/>
    </xf>
    <xf numFmtId="0" fontId="20" fillId="0" borderId="0" xfId="69" applyFont="1" applyBorder="1" applyAlignment="1">
      <alignment horizontal="left"/>
      <protection/>
    </xf>
    <xf numFmtId="0" fontId="18" fillId="0" borderId="0" xfId="61" applyFont="1" applyBorder="1" applyAlignment="1">
      <alignment horizontal="right" vertical="center"/>
      <protection/>
    </xf>
    <xf numFmtId="0" fontId="28" fillId="0" borderId="14" xfId="61" applyFont="1" applyBorder="1" applyAlignment="1">
      <alignment horizontal="left" vertical="center"/>
      <protection/>
    </xf>
    <xf numFmtId="0" fontId="28" fillId="0" borderId="14" xfId="69" applyFont="1" applyBorder="1" applyAlignment="1">
      <alignment horizontal="right" vertical="center"/>
      <protection/>
    </xf>
    <xf numFmtId="0" fontId="28" fillId="0" borderId="14" xfId="61" applyFont="1" applyBorder="1" applyAlignment="1">
      <alignment horizontal="left" vertical="center" wrapText="1"/>
      <protection/>
    </xf>
    <xf numFmtId="0" fontId="27" fillId="0" borderId="14" xfId="61" applyFont="1" applyBorder="1" applyAlignment="1">
      <alignment horizontal="right" vertical="center"/>
      <protection/>
    </xf>
    <xf numFmtId="0" fontId="29" fillId="0" borderId="0" xfId="47" applyFont="1" applyFill="1" applyBorder="1" applyAlignment="1">
      <alignment horizontal="center"/>
      <protection/>
    </xf>
    <xf numFmtId="0" fontId="23" fillId="0" borderId="10" xfId="47" applyFont="1" applyFill="1" applyBorder="1" applyAlignment="1">
      <alignment horizontal="right" vertical="center" wrapText="1"/>
      <protection/>
    </xf>
    <xf numFmtId="0" fontId="39" fillId="0" borderId="0" xfId="47" applyFont="1" applyFill="1" applyBorder="1" applyAlignment="1">
      <alignment horizontal="center"/>
      <protection/>
    </xf>
    <xf numFmtId="0" fontId="40" fillId="0" borderId="0" xfId="47" applyFont="1" applyFill="1" applyBorder="1" applyAlignment="1">
      <alignment horizontal="center"/>
      <protection/>
    </xf>
    <xf numFmtId="0" fontId="19" fillId="0" borderId="0" xfId="47" applyFont="1" applyFill="1" applyBorder="1" applyAlignment="1">
      <alignment horizontal="center" vertical="top" wrapText="1"/>
      <protection/>
    </xf>
    <xf numFmtId="0" fontId="23" fillId="0" borderId="0" xfId="47" applyFont="1" applyFill="1" applyBorder="1" applyAlignment="1">
      <alignment horizontal="left" vertical="center" wrapText="1"/>
      <protection/>
    </xf>
    <xf numFmtId="0" fontId="23" fillId="0" borderId="14" xfId="47" applyFont="1" applyFill="1" applyBorder="1" applyAlignment="1">
      <alignment horizontal="center" vertical="center" wrapText="1"/>
      <protection/>
    </xf>
    <xf numFmtId="0" fontId="20" fillId="0" borderId="0" xfId="47" applyFont="1" applyFill="1" applyBorder="1" applyAlignment="1">
      <alignment horizontal="right"/>
      <protection/>
    </xf>
    <xf numFmtId="0" fontId="2" fillId="0" borderId="0" xfId="47" applyFont="1" applyFill="1" applyBorder="1" applyAlignment="1">
      <alignment horizontal="left" vertical="center"/>
      <protection/>
    </xf>
    <xf numFmtId="0" fontId="20" fillId="0" borderId="0" xfId="47" applyFont="1" applyFill="1" applyBorder="1" applyAlignment="1">
      <alignment horizontal="left" vertical="center"/>
      <protection/>
    </xf>
    <xf numFmtId="0" fontId="23" fillId="0" borderId="14" xfId="47" applyFont="1" applyFill="1" applyBorder="1" applyAlignment="1">
      <alignment horizontal="right" vertical="center"/>
      <protection/>
    </xf>
    <xf numFmtId="0" fontId="20" fillId="0" borderId="12" xfId="47" applyFont="1" applyFill="1" applyBorder="1" applyAlignment="1">
      <alignment horizontal="right" vertical="center" wrapText="1"/>
      <protection/>
    </xf>
    <xf numFmtId="0" fontId="20" fillId="0" borderId="10" xfId="47" applyFont="1" applyFill="1" applyBorder="1" applyAlignment="1">
      <alignment horizontal="right" vertical="center" wrapText="1"/>
      <protection/>
    </xf>
    <xf numFmtId="0" fontId="9" fillId="0" borderId="0" xfId="0" applyFont="1" applyFill="1" applyBorder="1" applyAlignment="1">
      <alignment vertical="center"/>
    </xf>
    <xf numFmtId="2" fontId="11" fillId="0" borderId="26" xfId="0" applyNumberFormat="1" applyFont="1" applyFill="1" applyBorder="1" applyAlignment="1">
      <alignment horizontal="center" vertical="center"/>
    </xf>
    <xf numFmtId="0" fontId="3" fillId="0" borderId="0" xfId="62" applyFont="1" applyFill="1" applyBorder="1" applyAlignment="1">
      <alignment horizontal="center" vertical="center"/>
      <protection/>
    </xf>
    <xf numFmtId="49" fontId="5" fillId="0" borderId="0" xfId="0" applyNumberFormat="1" applyFont="1" applyFill="1" applyBorder="1" applyAlignment="1">
      <alignment horizontal="center" vertical="center" wrapText="1"/>
    </xf>
    <xf numFmtId="0" fontId="6" fillId="0" borderId="0" xfId="69" applyFont="1" applyFill="1" applyBorder="1" applyAlignment="1">
      <alignment horizontal="center" vertical="center" wrapText="1"/>
      <protection/>
    </xf>
    <xf numFmtId="0" fontId="9" fillId="0" borderId="0" xfId="0" applyFont="1" applyFill="1" applyBorder="1" applyAlignment="1">
      <alignment vertical="center" wrapText="1"/>
    </xf>
    <xf numFmtId="0" fontId="38" fillId="0" borderId="0" xfId="0" applyFont="1" applyFill="1" applyBorder="1" applyAlignment="1">
      <alignment vertical="center"/>
    </xf>
    <xf numFmtId="0" fontId="10" fillId="0" borderId="0" xfId="0" applyFont="1" applyFill="1" applyBorder="1" applyAlignment="1">
      <alignment vertical="center" wrapText="1"/>
    </xf>
    <xf numFmtId="49" fontId="9" fillId="0" borderId="39" xfId="69" applyNumberFormat="1" applyFont="1" applyFill="1" applyBorder="1" applyAlignment="1">
      <alignment horizontal="right" vertical="center"/>
      <protection/>
    </xf>
    <xf numFmtId="0" fontId="13" fillId="0" borderId="10" xfId="0" applyFont="1" applyFill="1" applyBorder="1" applyAlignment="1">
      <alignment horizontal="center" vertical="center" wrapText="1"/>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40" xfId="69" applyFont="1" applyFill="1" applyBorder="1" applyAlignment="1">
      <alignment horizontal="right" vertical="center"/>
      <protection/>
    </xf>
    <xf numFmtId="0" fontId="9" fillId="0" borderId="0" xfId="47" applyFont="1" applyFill="1" applyBorder="1" applyAlignment="1">
      <alignment horizontal="center"/>
      <protection/>
    </xf>
    <xf numFmtId="0" fontId="9" fillId="0" borderId="0" xfId="47" applyFont="1" applyFill="1" applyBorder="1" applyAlignment="1">
      <alignment horizontal="left"/>
      <protection/>
    </xf>
    <xf numFmtId="0" fontId="9" fillId="0" borderId="0" xfId="47" applyFont="1" applyFill="1" applyBorder="1" applyAlignment="1">
      <alignment horizontal="center" vertical="center"/>
      <protection/>
    </xf>
    <xf numFmtId="0" fontId="9" fillId="0" borderId="0" xfId="47" applyFont="1" applyFill="1" applyBorder="1" applyAlignment="1">
      <alignment horizontal="left" vertical="center"/>
      <protection/>
    </xf>
    <xf numFmtId="0" fontId="16" fillId="0" borderId="10" xfId="0" applyFont="1" applyFill="1" applyBorder="1" applyAlignment="1">
      <alignment horizontal="center" vertical="center" wrapText="1"/>
    </xf>
    <xf numFmtId="49" fontId="9" fillId="0" borderId="41" xfId="69" applyNumberFormat="1" applyFont="1" applyFill="1" applyBorder="1" applyAlignment="1">
      <alignment horizontal="right" vertical="center"/>
      <protection/>
    </xf>
    <xf numFmtId="0" fontId="11" fillId="0" borderId="42" xfId="69" applyFont="1" applyFill="1" applyBorder="1" applyAlignment="1">
      <alignment horizontal="right" vertical="center"/>
      <protection/>
    </xf>
    <xf numFmtId="0" fontId="11" fillId="0" borderId="43" xfId="69" applyFont="1" applyFill="1" applyBorder="1" applyAlignment="1">
      <alignment horizontal="right" vertical="center"/>
      <protection/>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center"/>
    </xf>
    <xf numFmtId="0" fontId="16" fillId="0" borderId="10" xfId="0" applyFont="1" applyFill="1" applyBorder="1" applyAlignment="1">
      <alignment horizontal="center" vertical="center"/>
    </xf>
    <xf numFmtId="0" fontId="61" fillId="34" borderId="0" xfId="0" applyFont="1" applyFill="1" applyBorder="1" applyAlignment="1">
      <alignment horizontal="left" vertical="center" wrapText="1"/>
    </xf>
    <xf numFmtId="0" fontId="15" fillId="0" borderId="2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28" xfId="0" applyFont="1" applyFill="1" applyBorder="1" applyAlignment="1">
      <alignment horizontal="center" vertical="center" wrapText="1"/>
    </xf>
    <xf numFmtId="2" fontId="9" fillId="0" borderId="28" xfId="0" applyNumberFormat="1" applyFont="1" applyFill="1" applyBorder="1" applyAlignment="1">
      <alignment horizontal="center" vertical="center" wrapText="1"/>
    </xf>
    <xf numFmtId="2" fontId="9" fillId="0" borderId="28" xfId="0" applyNumberFormat="1" applyFont="1" applyFill="1" applyBorder="1" applyAlignment="1">
      <alignment horizontal="center" vertical="center"/>
    </xf>
    <xf numFmtId="0" fontId="14" fillId="0" borderId="44"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45" xfId="0" applyNumberFormat="1" applyFont="1" applyFill="1" applyBorder="1" applyAlignment="1" applyProtection="1">
      <alignment horizontal="right" vertical="center" wrapText="1"/>
      <protection/>
    </xf>
    <xf numFmtId="0" fontId="14" fillId="0" borderId="12" xfId="0" applyNumberFormat="1" applyFont="1" applyFill="1" applyBorder="1" applyAlignment="1" applyProtection="1">
      <alignment horizontal="center" vertical="center"/>
      <protection/>
    </xf>
    <xf numFmtId="2" fontId="15" fillId="0" borderId="12" xfId="0" applyNumberFormat="1" applyFont="1" applyFill="1" applyBorder="1" applyAlignment="1">
      <alignment horizontal="center" vertical="center"/>
    </xf>
    <xf numFmtId="2" fontId="14" fillId="0" borderId="12" xfId="0" applyNumberFormat="1" applyFont="1" applyFill="1" applyBorder="1" applyAlignment="1" applyProtection="1">
      <alignment horizontal="center" vertical="center"/>
      <protection/>
    </xf>
    <xf numFmtId="2" fontId="14" fillId="0" borderId="46" xfId="0" applyNumberFormat="1" applyFont="1" applyFill="1" applyBorder="1" applyAlignment="1" applyProtection="1">
      <alignment horizontal="center" vertical="center"/>
      <protection/>
    </xf>
    <xf numFmtId="0" fontId="15" fillId="0" borderId="14" xfId="0" applyFont="1" applyFill="1" applyBorder="1" applyAlignment="1">
      <alignment horizontal="center" vertical="center"/>
    </xf>
    <xf numFmtId="0" fontId="15" fillId="0" borderId="14" xfId="0" applyFont="1" applyFill="1" applyBorder="1" applyAlignment="1">
      <alignment vertical="center" wrapText="1"/>
    </xf>
    <xf numFmtId="2" fontId="15" fillId="0" borderId="14" xfId="0" applyNumberFormat="1" applyFont="1" applyFill="1" applyBorder="1" applyAlignment="1" applyProtection="1">
      <alignment horizontal="center"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Baldones" xfId="59"/>
    <cellStyle name="Normal_Celtniecibas tames - Bernudarzi" xfId="60"/>
    <cellStyle name="Normal_Polu_vidusskola_kopeja" xfId="61"/>
    <cellStyle name="Normal_Sheet1" xfId="62"/>
    <cellStyle name="Normal_Sheet10" xfId="63"/>
    <cellStyle name="Normal_tamlok" xfId="64"/>
    <cellStyle name="Normal_tamlok_tuksaLBN 2" xfId="65"/>
    <cellStyle name="Note" xfId="66"/>
    <cellStyle name="Output" xfId="67"/>
    <cellStyle name="Percent"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D40"/>
  <sheetViews>
    <sheetView view="pageBreakPreview" zoomScale="60" zoomScalePageLayoutView="0" workbookViewId="0" topLeftCell="A1">
      <selection activeCell="I41" sqref="I41"/>
    </sheetView>
  </sheetViews>
  <sheetFormatPr defaultColWidth="9.28125" defaultRowHeight="15"/>
  <cols>
    <col min="1" max="1" width="9.140625" style="138" customWidth="1"/>
    <col min="2" max="2" width="12.7109375" style="138" customWidth="1"/>
    <col min="3" max="3" width="45.00390625" style="138" customWidth="1"/>
    <col min="4" max="4" width="24.7109375" style="138" customWidth="1"/>
    <col min="5" max="16384" width="9.28125" style="97" customWidth="1"/>
  </cols>
  <sheetData>
    <row r="2" spans="1:4" ht="15">
      <c r="A2" s="309" t="s">
        <v>55</v>
      </c>
      <c r="B2" s="309"/>
      <c r="C2" s="309"/>
      <c r="D2" s="309"/>
    </row>
    <row r="3" spans="1:4" ht="15">
      <c r="A3" s="310" t="s">
        <v>56</v>
      </c>
      <c r="B3" s="310"/>
      <c r="C3" s="310"/>
      <c r="D3" s="310"/>
    </row>
    <row r="4" spans="1:4" ht="12.75">
      <c r="A4" s="311" t="s">
        <v>57</v>
      </c>
      <c r="B4" s="311"/>
      <c r="C4" s="311"/>
      <c r="D4" s="311"/>
    </row>
    <row r="5" spans="1:4" ht="12.75">
      <c r="A5" s="136"/>
      <c r="B5" s="136"/>
      <c r="C5" s="136"/>
      <c r="D5" s="137" t="s">
        <v>58</v>
      </c>
    </row>
    <row r="6" spans="2:4" ht="14.25">
      <c r="B6" s="312" t="s">
        <v>59</v>
      </c>
      <c r="C6" s="312"/>
      <c r="D6" s="312"/>
    </row>
    <row r="7" spans="1:4" s="140" customFormat="1" ht="18">
      <c r="A7" s="138"/>
      <c r="B7" s="139"/>
      <c r="C7" s="139"/>
      <c r="D7" s="139"/>
    </row>
    <row r="8" spans="1:4" ht="20.25">
      <c r="A8" s="313" t="s">
        <v>60</v>
      </c>
      <c r="B8" s="313"/>
      <c r="C8" s="313"/>
      <c r="D8" s="313"/>
    </row>
    <row r="9" spans="1:4" ht="15">
      <c r="A9" s="141"/>
      <c r="B9" s="141"/>
      <c r="C9" s="141"/>
      <c r="D9" s="141"/>
    </row>
    <row r="10" spans="1:4" ht="41.25" customHeight="1">
      <c r="A10" s="314" t="s">
        <v>3</v>
      </c>
      <c r="B10" s="314"/>
      <c r="C10" s="315" t="s">
        <v>195</v>
      </c>
      <c r="D10" s="315"/>
    </row>
    <row r="11" spans="1:4" s="142" customFormat="1" ht="41.25" customHeight="1">
      <c r="A11" s="314" t="s">
        <v>4</v>
      </c>
      <c r="B11" s="314"/>
      <c r="C11" s="315" t="s">
        <v>196</v>
      </c>
      <c r="D11" s="315"/>
    </row>
    <row r="12" spans="1:4" s="142" customFormat="1" ht="17.25" customHeight="1">
      <c r="A12" s="316" t="s">
        <v>5</v>
      </c>
      <c r="B12" s="316"/>
      <c r="C12" s="315" t="s">
        <v>197</v>
      </c>
      <c r="D12" s="315"/>
    </row>
    <row r="13" spans="1:4" s="142" customFormat="1" ht="16.5" customHeight="1">
      <c r="A13" s="316" t="s">
        <v>92</v>
      </c>
      <c r="B13" s="316"/>
      <c r="C13" s="316" t="s">
        <v>198</v>
      </c>
      <c r="D13" s="316"/>
    </row>
    <row r="14" spans="1:4" s="142" customFormat="1" ht="16.5" customHeight="1">
      <c r="A14" s="143"/>
      <c r="B14" s="144"/>
      <c r="C14" s="144"/>
      <c r="D14" s="144"/>
    </row>
    <row r="15" spans="1:4" s="142" customFormat="1" ht="16.5" customHeight="1">
      <c r="A15" s="317" t="s">
        <v>355</v>
      </c>
      <c r="B15" s="317"/>
      <c r="C15" s="317"/>
      <c r="D15" s="317"/>
    </row>
    <row r="16" spans="1:4" s="142" customFormat="1" ht="17.25" customHeight="1">
      <c r="A16" s="145"/>
      <c r="B16" s="145"/>
      <c r="C16" s="145"/>
      <c r="D16" s="146"/>
    </row>
    <row r="17" spans="1:4" s="148" customFormat="1" ht="33">
      <c r="A17" s="147" t="s">
        <v>8</v>
      </c>
      <c r="B17" s="147" t="s">
        <v>61</v>
      </c>
      <c r="C17" s="147" t="s">
        <v>62</v>
      </c>
      <c r="D17" s="147" t="s">
        <v>346</v>
      </c>
    </row>
    <row r="18" spans="1:4" s="148" customFormat="1" ht="42.75">
      <c r="A18" s="149" t="s">
        <v>63</v>
      </c>
      <c r="B18" s="283" t="s">
        <v>198</v>
      </c>
      <c r="C18" s="220" t="s">
        <v>196</v>
      </c>
      <c r="D18" s="152">
        <f>kops!D26</f>
        <v>0</v>
      </c>
    </row>
    <row r="19" spans="1:4" s="148" customFormat="1" ht="16.5">
      <c r="A19" s="149"/>
      <c r="B19" s="150"/>
      <c r="C19" s="220"/>
      <c r="D19" s="152"/>
    </row>
    <row r="20" spans="1:4" ht="16.5">
      <c r="A20" s="153"/>
      <c r="B20" s="150"/>
      <c r="C20" s="151"/>
      <c r="D20" s="152"/>
    </row>
    <row r="21" spans="1:4" ht="15.75" customHeight="1">
      <c r="A21" s="154"/>
      <c r="B21" s="155"/>
      <c r="C21" s="156" t="s">
        <v>64</v>
      </c>
      <c r="D21" s="157">
        <f>SUM(D18:D20)</f>
        <v>0</v>
      </c>
    </row>
    <row r="22" spans="1:4" ht="15.75" customHeight="1">
      <c r="A22" s="318" t="s">
        <v>85</v>
      </c>
      <c r="B22" s="318"/>
      <c r="C22" s="318"/>
      <c r="D22" s="158" t="s">
        <v>86</v>
      </c>
    </row>
    <row r="23" spans="1:4" ht="15.75" customHeight="1">
      <c r="A23" s="319" t="s">
        <v>64</v>
      </c>
      <c r="B23" s="319"/>
      <c r="C23" s="319"/>
      <c r="D23" s="157">
        <f>SUM(D21:D22)</f>
        <v>0</v>
      </c>
    </row>
    <row r="24" spans="1:4" ht="16.5">
      <c r="A24" s="320" t="s">
        <v>111</v>
      </c>
      <c r="B24" s="320"/>
      <c r="C24" s="320"/>
      <c r="D24" s="158">
        <f>ROUND(D23*0.21,2)</f>
        <v>0</v>
      </c>
    </row>
    <row r="25" spans="1:4" ht="15.75" customHeight="1">
      <c r="A25" s="321" t="s">
        <v>65</v>
      </c>
      <c r="B25" s="321"/>
      <c r="C25" s="321"/>
      <c r="D25" s="159">
        <f>SUM(D23:D24)</f>
        <v>0</v>
      </c>
    </row>
    <row r="26" spans="1:4" ht="12.75">
      <c r="A26" s="160"/>
      <c r="B26" s="160"/>
      <c r="C26" s="160"/>
      <c r="D26" s="160"/>
    </row>
    <row r="27" spans="1:4" ht="12.75">
      <c r="A27" s="161"/>
      <c r="B27" s="161"/>
      <c r="C27" s="161"/>
      <c r="D27" s="161"/>
    </row>
    <row r="28" spans="1:4" ht="12.75">
      <c r="A28" s="161"/>
      <c r="B28" s="161"/>
      <c r="C28" s="161"/>
      <c r="D28" s="161"/>
    </row>
    <row r="29" spans="1:4" ht="14.25">
      <c r="A29" s="143"/>
      <c r="B29" s="143" t="s">
        <v>66</v>
      </c>
      <c r="C29" s="162"/>
      <c r="D29" s="163"/>
    </row>
    <row r="30" spans="1:4" ht="14.25">
      <c r="A30" s="164"/>
      <c r="B30" s="164"/>
      <c r="C30" s="165" t="s">
        <v>67</v>
      </c>
      <c r="D30" s="166"/>
    </row>
    <row r="31" spans="1:4" ht="14.25">
      <c r="A31" s="164"/>
      <c r="B31" s="164"/>
      <c r="C31" s="164"/>
      <c r="D31" s="164"/>
    </row>
    <row r="32" spans="1:4" ht="14.25">
      <c r="A32" s="143"/>
      <c r="B32" s="167" t="s">
        <v>68</v>
      </c>
      <c r="C32" s="162"/>
      <c r="D32" s="163"/>
    </row>
    <row r="33" spans="1:4" ht="14.25">
      <c r="A33" s="164"/>
      <c r="B33" s="164"/>
      <c r="C33" s="164"/>
      <c r="D33" s="164"/>
    </row>
    <row r="34" spans="1:4" ht="14.25" hidden="1">
      <c r="A34" s="143"/>
      <c r="B34" s="143" t="s">
        <v>69</v>
      </c>
      <c r="C34" s="162"/>
      <c r="D34" s="168"/>
    </row>
    <row r="35" spans="1:4" ht="14.25" hidden="1">
      <c r="A35" s="164"/>
      <c r="B35" s="164"/>
      <c r="C35" s="165" t="s">
        <v>67</v>
      </c>
      <c r="D35" s="136"/>
    </row>
    <row r="36" spans="1:4" ht="14.25" hidden="1">
      <c r="A36" s="164"/>
      <c r="B36" s="164"/>
      <c r="C36" s="164"/>
      <c r="D36" s="164"/>
    </row>
    <row r="37" spans="1:4" ht="14.25" hidden="1">
      <c r="A37" s="143"/>
      <c r="B37" s="167" t="s">
        <v>68</v>
      </c>
      <c r="C37" s="162"/>
      <c r="D37" s="168"/>
    </row>
    <row r="38" spans="1:4" ht="14.25" hidden="1">
      <c r="A38" s="164"/>
      <c r="B38" s="164"/>
      <c r="C38" s="164"/>
      <c r="D38" s="164"/>
    </row>
    <row r="39" spans="1:4" ht="14.25">
      <c r="A39" s="312" t="s">
        <v>70</v>
      </c>
      <c r="B39" s="312"/>
      <c r="C39" s="169"/>
      <c r="D39" s="170"/>
    </row>
    <row r="40" spans="1:4" ht="15">
      <c r="A40" s="171" t="s">
        <v>39</v>
      </c>
      <c r="B40" s="172"/>
      <c r="C40" s="165" t="s">
        <v>67</v>
      </c>
      <c r="D40" s="170"/>
    </row>
  </sheetData>
  <sheetProtection/>
  <mergeCells count="19">
    <mergeCell ref="C11:D11"/>
    <mergeCell ref="A12:B12"/>
    <mergeCell ref="C12:D12"/>
    <mergeCell ref="A39:B39"/>
    <mergeCell ref="A15:D15"/>
    <mergeCell ref="A22:C22"/>
    <mergeCell ref="A23:C23"/>
    <mergeCell ref="A24:C24"/>
    <mergeCell ref="A25:C25"/>
    <mergeCell ref="A13:B13"/>
    <mergeCell ref="C13:D13"/>
    <mergeCell ref="A2:D2"/>
    <mergeCell ref="A3:D3"/>
    <mergeCell ref="A4:D4"/>
    <mergeCell ref="B6:D6"/>
    <mergeCell ref="A8:D8"/>
    <mergeCell ref="A10:B10"/>
    <mergeCell ref="C10:D10"/>
    <mergeCell ref="A11:B11"/>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A1:H30"/>
  <sheetViews>
    <sheetView zoomScalePageLayoutView="0" workbookViewId="0" topLeftCell="A1">
      <selection activeCell="I13" sqref="I13:J13"/>
    </sheetView>
  </sheetViews>
  <sheetFormatPr defaultColWidth="9.140625" defaultRowHeight="15"/>
  <cols>
    <col min="1" max="1" width="5.7109375" style="173" customWidth="1"/>
    <col min="2" max="2" width="7.8515625" style="173" customWidth="1"/>
    <col min="3" max="3" width="37.421875" style="173" customWidth="1"/>
    <col min="4" max="4" width="12.7109375" style="173" customWidth="1"/>
    <col min="5" max="5" width="11.421875" style="173" customWidth="1"/>
    <col min="6" max="6" width="12.8515625" style="173" customWidth="1"/>
    <col min="7" max="8" width="11.7109375" style="173" customWidth="1"/>
    <col min="9" max="16384" width="9.140625" style="173" customWidth="1"/>
  </cols>
  <sheetData>
    <row r="1" spans="1:8" ht="18">
      <c r="A1" s="322" t="s">
        <v>71</v>
      </c>
      <c r="B1" s="322"/>
      <c r="C1" s="322"/>
      <c r="D1" s="322"/>
      <c r="E1" s="322"/>
      <c r="F1" s="322"/>
      <c r="G1" s="322"/>
      <c r="H1" s="322"/>
    </row>
    <row r="2" spans="1:8" ht="35.25" customHeight="1">
      <c r="A2" s="324" t="s">
        <v>356</v>
      </c>
      <c r="B2" s="325"/>
      <c r="C2" s="325"/>
      <c r="D2" s="325"/>
      <c r="E2" s="325"/>
      <c r="F2" s="325"/>
      <c r="G2" s="325"/>
      <c r="H2" s="325"/>
    </row>
    <row r="3" spans="1:8" ht="12.75">
      <c r="A3" s="326" t="s">
        <v>72</v>
      </c>
      <c r="B3" s="326"/>
      <c r="C3" s="326"/>
      <c r="D3" s="326"/>
      <c r="E3" s="326"/>
      <c r="F3" s="326"/>
      <c r="G3" s="326"/>
      <c r="H3" s="326"/>
    </row>
    <row r="5" spans="1:8" s="174" customFormat="1" ht="37.5" customHeight="1">
      <c r="A5" s="327" t="s">
        <v>357</v>
      </c>
      <c r="B5" s="327"/>
      <c r="C5" s="327"/>
      <c r="D5" s="327"/>
      <c r="E5" s="327"/>
      <c r="F5" s="327"/>
      <c r="G5" s="327"/>
      <c r="H5" s="327"/>
    </row>
    <row r="6" spans="1:8" s="174" customFormat="1" ht="37.5" customHeight="1">
      <c r="A6" s="327" t="s">
        <v>358</v>
      </c>
      <c r="B6" s="327"/>
      <c r="C6" s="327"/>
      <c r="D6" s="327"/>
      <c r="E6" s="327"/>
      <c r="F6" s="327"/>
      <c r="G6" s="327"/>
      <c r="H6" s="327"/>
    </row>
    <row r="7" spans="1:8" s="175" customFormat="1" ht="15">
      <c r="A7" s="327" t="s">
        <v>231</v>
      </c>
      <c r="B7" s="327"/>
      <c r="C7" s="327"/>
      <c r="D7" s="327"/>
      <c r="E7" s="327"/>
      <c r="F7" s="327"/>
      <c r="G7" s="327"/>
      <c r="H7" s="327"/>
    </row>
    <row r="8" s="176" customFormat="1" ht="15"/>
    <row r="9" spans="1:8" s="179" customFormat="1" ht="15">
      <c r="A9" s="329" t="s">
        <v>345</v>
      </c>
      <c r="B9" s="329"/>
      <c r="C9" s="329"/>
      <c r="D9" s="177">
        <f>D26</f>
        <v>0</v>
      </c>
      <c r="E9" s="178"/>
      <c r="F9" s="178"/>
      <c r="G9" s="178"/>
      <c r="H9" s="178"/>
    </row>
    <row r="10" spans="1:8" s="179" customFormat="1" ht="15">
      <c r="A10" s="329" t="s">
        <v>73</v>
      </c>
      <c r="B10" s="329"/>
      <c r="C10" s="329"/>
      <c r="D10" s="180">
        <f>H22</f>
        <v>0</v>
      </c>
      <c r="E10" s="178"/>
      <c r="F10" s="178"/>
      <c r="G10" s="178"/>
      <c r="H10" s="178"/>
    </row>
    <row r="11" spans="1:8" ht="12.75">
      <c r="A11" s="181"/>
      <c r="B11" s="181"/>
      <c r="C11" s="181"/>
      <c r="D11" s="181"/>
      <c r="E11" s="181"/>
      <c r="F11" s="181"/>
      <c r="G11" s="181"/>
      <c r="H11" s="181"/>
    </row>
    <row r="12" spans="1:8" s="179" customFormat="1" ht="15">
      <c r="A12" s="328" t="s">
        <v>74</v>
      </c>
      <c r="B12" s="328" t="s">
        <v>75</v>
      </c>
      <c r="C12" s="328" t="s">
        <v>76</v>
      </c>
      <c r="D12" s="328" t="s">
        <v>346</v>
      </c>
      <c r="E12" s="328" t="s">
        <v>348</v>
      </c>
      <c r="F12" s="328"/>
      <c r="G12" s="328"/>
      <c r="H12" s="328" t="s">
        <v>77</v>
      </c>
    </row>
    <row r="13" spans="1:8" s="179" customFormat="1" ht="45.75" customHeight="1">
      <c r="A13" s="328"/>
      <c r="B13" s="328"/>
      <c r="C13" s="328"/>
      <c r="D13" s="328"/>
      <c r="E13" s="182" t="s">
        <v>347</v>
      </c>
      <c r="F13" s="182" t="s">
        <v>349</v>
      </c>
      <c r="G13" s="182" t="s">
        <v>350</v>
      </c>
      <c r="H13" s="328"/>
    </row>
    <row r="14" spans="1:8" s="186" customFormat="1" ht="14.25">
      <c r="A14" s="183"/>
      <c r="B14" s="183"/>
      <c r="C14" s="184"/>
      <c r="D14" s="185"/>
      <c r="E14" s="185"/>
      <c r="F14" s="185"/>
      <c r="G14" s="185"/>
      <c r="H14" s="185"/>
    </row>
    <row r="15" spans="1:8" s="186" customFormat="1" ht="16.5" customHeight="1">
      <c r="A15" s="183">
        <v>1</v>
      </c>
      <c r="B15" s="183">
        <v>1</v>
      </c>
      <c r="C15" s="187" t="s">
        <v>1</v>
      </c>
      <c r="D15" s="185">
        <f>fasade!P90</f>
        <v>0</v>
      </c>
      <c r="E15" s="185">
        <f>fasade!M90</f>
        <v>0</v>
      </c>
      <c r="F15" s="185">
        <f>fasade!N90</f>
        <v>0</v>
      </c>
      <c r="G15" s="185">
        <f>fasade!O90</f>
        <v>0</v>
      </c>
      <c r="H15" s="185">
        <f>fasade!L90</f>
        <v>0</v>
      </c>
    </row>
    <row r="16" spans="1:8" s="186" customFormat="1" ht="16.5" customHeight="1">
      <c r="A16" s="183">
        <v>2</v>
      </c>
      <c r="B16" s="183">
        <v>2</v>
      </c>
      <c r="C16" s="187" t="s">
        <v>140</v>
      </c>
      <c r="D16" s="185">
        <f>jumts!P102</f>
        <v>0</v>
      </c>
      <c r="E16" s="185">
        <f>jumts!M102</f>
        <v>0</v>
      </c>
      <c r="F16" s="185">
        <f>jumts!N102</f>
        <v>0</v>
      </c>
      <c r="G16" s="185">
        <f>jumts!O102</f>
        <v>0</v>
      </c>
      <c r="H16" s="185">
        <f>jumts!L102</f>
        <v>0</v>
      </c>
    </row>
    <row r="17" spans="1:8" s="186" customFormat="1" ht="16.5" customHeight="1">
      <c r="A17" s="183">
        <v>3</v>
      </c>
      <c r="B17" s="183">
        <v>3</v>
      </c>
      <c r="C17" s="187" t="s">
        <v>48</v>
      </c>
      <c r="D17" s="185">
        <f>logi!P70</f>
        <v>0</v>
      </c>
      <c r="E17" s="185">
        <f>logi!M70</f>
        <v>0</v>
      </c>
      <c r="F17" s="185">
        <f>logi!N70</f>
        <v>0</v>
      </c>
      <c r="G17" s="185">
        <f>logi!O70</f>
        <v>0</v>
      </c>
      <c r="H17" s="185">
        <f>logi!L70</f>
        <v>0</v>
      </c>
    </row>
    <row r="18" spans="1:8" s="186" customFormat="1" ht="16.5" customHeight="1">
      <c r="A18" s="183">
        <v>5</v>
      </c>
      <c r="B18" s="183">
        <v>5</v>
      </c>
      <c r="C18" s="187" t="s">
        <v>237</v>
      </c>
      <c r="D18" s="185">
        <f>'EL'!P46</f>
        <v>0</v>
      </c>
      <c r="E18" s="185">
        <f>'EL'!M46</f>
        <v>0</v>
      </c>
      <c r="F18" s="185">
        <f>'EL'!N46</f>
        <v>0</v>
      </c>
      <c r="G18" s="185">
        <f>'EL'!O46</f>
        <v>0</v>
      </c>
      <c r="H18" s="185">
        <f>'EL'!L46</f>
        <v>0</v>
      </c>
    </row>
    <row r="19" spans="1:8" s="186" customFormat="1" ht="13.5" customHeight="1">
      <c r="A19" s="183">
        <v>7</v>
      </c>
      <c r="B19" s="183">
        <v>7</v>
      </c>
      <c r="C19" s="187" t="s">
        <v>143</v>
      </c>
      <c r="D19" s="185">
        <f>ventil!P130</f>
        <v>0</v>
      </c>
      <c r="E19" s="185">
        <f>ventil!M130</f>
        <v>0</v>
      </c>
      <c r="F19" s="185">
        <f>ventil!N130</f>
        <v>0</v>
      </c>
      <c r="G19" s="185">
        <f>ventil!O130</f>
        <v>0</v>
      </c>
      <c r="H19" s="185">
        <f>ventil!L130</f>
        <v>0</v>
      </c>
    </row>
    <row r="20" spans="1:8" s="186" customFormat="1" ht="15.75" customHeight="1">
      <c r="A20" s="183">
        <v>8</v>
      </c>
      <c r="B20" s="183">
        <v>8</v>
      </c>
      <c r="C20" s="187" t="s">
        <v>142</v>
      </c>
      <c r="D20" s="185">
        <f>apkure!P24</f>
        <v>0</v>
      </c>
      <c r="E20" s="185">
        <f>apkure!M24</f>
        <v>0</v>
      </c>
      <c r="F20" s="185">
        <f>apkure!N24</f>
        <v>0</v>
      </c>
      <c r="G20" s="185">
        <f>apkure!O24</f>
        <v>0</v>
      </c>
      <c r="H20" s="185">
        <f>apkure!L24</f>
        <v>0</v>
      </c>
    </row>
    <row r="21" spans="1:8" s="186" customFormat="1" ht="14.25">
      <c r="A21" s="188"/>
      <c r="B21" s="188"/>
      <c r="C21" s="189"/>
      <c r="D21" s="190"/>
      <c r="E21" s="190"/>
      <c r="F21" s="190"/>
      <c r="G21" s="190"/>
      <c r="H21" s="190"/>
    </row>
    <row r="22" spans="1:8" ht="15">
      <c r="A22" s="332" t="s">
        <v>78</v>
      </c>
      <c r="B22" s="332"/>
      <c r="C22" s="332"/>
      <c r="D22" s="191">
        <f>SUM(D14:D21)</f>
        <v>0</v>
      </c>
      <c r="E22" s="191">
        <f>SUM(E14:E21)</f>
        <v>0</v>
      </c>
      <c r="F22" s="191">
        <f>SUM(F14:F21)</f>
        <v>0</v>
      </c>
      <c r="G22" s="191">
        <f>SUM(G14:G21)</f>
        <v>0</v>
      </c>
      <c r="H22" s="191">
        <f>SUM(H14:H21)</f>
        <v>0</v>
      </c>
    </row>
    <row r="23" spans="1:8" s="194" customFormat="1" ht="18" customHeight="1">
      <c r="A23" s="333" t="s">
        <v>351</v>
      </c>
      <c r="B23" s="333"/>
      <c r="C23" s="333"/>
      <c r="D23" s="192">
        <f>ROUND(D22*0.08,2)</f>
        <v>0</v>
      </c>
      <c r="E23" s="193"/>
      <c r="F23" s="193"/>
      <c r="G23" s="193"/>
      <c r="H23" s="193"/>
    </row>
    <row r="24" spans="1:8" s="194" customFormat="1" ht="18" customHeight="1">
      <c r="A24" s="334" t="s">
        <v>352</v>
      </c>
      <c r="B24" s="334"/>
      <c r="C24" s="334"/>
      <c r="D24" s="195">
        <f>ROUND(D22*0.06,2)</f>
        <v>0</v>
      </c>
      <c r="E24" s="193"/>
      <c r="F24" s="193"/>
      <c r="G24" s="193"/>
      <c r="H24" s="193"/>
    </row>
    <row r="25" spans="1:8" s="194" customFormat="1" ht="14.25">
      <c r="A25" s="334" t="s">
        <v>353</v>
      </c>
      <c r="B25" s="334"/>
      <c r="C25" s="334"/>
      <c r="D25" s="195">
        <f>ROUND(E22*0.2409,2)</f>
        <v>0</v>
      </c>
      <c r="E25" s="193"/>
      <c r="F25" s="193"/>
      <c r="G25" s="193"/>
      <c r="H25" s="193"/>
    </row>
    <row r="26" spans="1:8" s="194" customFormat="1" ht="15">
      <c r="A26" s="323" t="s">
        <v>78</v>
      </c>
      <c r="B26" s="323"/>
      <c r="C26" s="323"/>
      <c r="D26" s="196">
        <f>ROUND(SUM(D22:D25),2)</f>
        <v>0</v>
      </c>
      <c r="E26" s="197"/>
      <c r="F26" s="198"/>
      <c r="G26" s="193"/>
      <c r="H26" s="193"/>
    </row>
    <row r="27" spans="1:8" s="179" customFormat="1" ht="14.25">
      <c r="A27" s="199"/>
      <c r="B27" s="199"/>
      <c r="C27" s="200"/>
      <c r="D27" s="200"/>
      <c r="E27" s="199"/>
      <c r="F27" s="199"/>
      <c r="G27" s="199"/>
      <c r="H27" s="199"/>
    </row>
    <row r="28" spans="1:8" s="202" customFormat="1" ht="14.25">
      <c r="A28" s="330" t="s">
        <v>354</v>
      </c>
      <c r="B28" s="330"/>
      <c r="C28" s="330"/>
      <c r="D28" s="330"/>
      <c r="E28" s="330"/>
      <c r="F28" s="330"/>
      <c r="G28" s="330"/>
      <c r="H28" s="330"/>
    </row>
    <row r="29" spans="1:8" s="202" customFormat="1" ht="14.25">
      <c r="A29" s="331" t="s">
        <v>311</v>
      </c>
      <c r="B29" s="331"/>
      <c r="C29" s="331"/>
      <c r="D29" s="203"/>
      <c r="E29" s="204"/>
      <c r="F29" s="204"/>
      <c r="G29" s="204"/>
      <c r="H29" s="204"/>
    </row>
    <row r="30" spans="1:8" s="202" customFormat="1" ht="14.25">
      <c r="A30" s="201"/>
      <c r="B30" s="201"/>
      <c r="C30" s="201"/>
      <c r="D30" s="203"/>
      <c r="E30" s="204"/>
      <c r="F30" s="204"/>
      <c r="G30" s="204"/>
      <c r="H30" s="204"/>
    </row>
  </sheetData>
  <sheetProtection/>
  <mergeCells count="21">
    <mergeCell ref="B12:B13"/>
    <mergeCell ref="A10:C10"/>
    <mergeCell ref="A28:H28"/>
    <mergeCell ref="A29:C29"/>
    <mergeCell ref="E12:G12"/>
    <mergeCell ref="H12:H13"/>
    <mergeCell ref="A22:C22"/>
    <mergeCell ref="A23:C23"/>
    <mergeCell ref="A24:C24"/>
    <mergeCell ref="A25:C25"/>
    <mergeCell ref="A12:A13"/>
    <mergeCell ref="A1:H1"/>
    <mergeCell ref="A26:C26"/>
    <mergeCell ref="A2:H2"/>
    <mergeCell ref="A3:H3"/>
    <mergeCell ref="A5:H5"/>
    <mergeCell ref="A6:H6"/>
    <mergeCell ref="A7:H7"/>
    <mergeCell ref="C12:C13"/>
    <mergeCell ref="D12:D13"/>
    <mergeCell ref="A9:C9"/>
  </mergeCells>
  <printOptions/>
  <pageMargins left="0.5" right="0.25" top="0.75" bottom="0.75" header="0.3" footer="0.3"/>
  <pageSetup horizontalDpi="600" verticalDpi="600" orientation="portrait" scale="88" r:id="rId1"/>
</worksheet>
</file>

<file path=xl/worksheets/sheet3.xml><?xml version="1.0" encoding="utf-8"?>
<worksheet xmlns="http://schemas.openxmlformats.org/spreadsheetml/2006/main" xmlns:r="http://schemas.openxmlformats.org/officeDocument/2006/relationships">
  <dimension ref="A1:P94"/>
  <sheetViews>
    <sheetView showZeros="0" view="pageBreakPreview" zoomScale="90" zoomScaleSheetLayoutView="90" zoomScalePageLayoutView="0" workbookViewId="0" topLeftCell="A1">
      <selection activeCell="A12" sqref="A12:P12"/>
    </sheetView>
  </sheetViews>
  <sheetFormatPr defaultColWidth="7.7109375" defaultRowHeight="15"/>
  <cols>
    <col min="1" max="1" width="5.7109375" style="84" customWidth="1"/>
    <col min="2" max="2" width="5.28125" style="84" customWidth="1"/>
    <col min="3" max="3" width="41.421875" style="84" customWidth="1"/>
    <col min="4" max="4" width="7.7109375" style="84" customWidth="1"/>
    <col min="5" max="5" width="8.421875" style="85" customWidth="1"/>
    <col min="6" max="6" width="8.28125" style="84" customWidth="1"/>
    <col min="7" max="7" width="9.140625" style="86" customWidth="1"/>
    <col min="8" max="11" width="9.140625" style="84" customWidth="1"/>
    <col min="12" max="15" width="8.8515625" style="84" customWidth="1"/>
    <col min="16" max="16" width="11.140625" style="84" customWidth="1"/>
    <col min="17" max="218" width="9.140625" style="84" customWidth="1"/>
    <col min="219" max="239" width="7.140625" style="84" customWidth="1"/>
    <col min="240" max="240" width="5.7109375" style="84" customWidth="1"/>
    <col min="241" max="241" width="5.28125" style="84" customWidth="1"/>
    <col min="242" max="242" width="39.8515625" style="84" customWidth="1"/>
    <col min="243" max="16384" width="7.7109375" style="84" customWidth="1"/>
  </cols>
  <sheetData>
    <row r="1" spans="1:16" s="1" customFormat="1" ht="18">
      <c r="A1" s="337" t="s">
        <v>42</v>
      </c>
      <c r="B1" s="337"/>
      <c r="C1" s="337"/>
      <c r="D1" s="337"/>
      <c r="E1" s="337"/>
      <c r="F1" s="337"/>
      <c r="G1" s="337"/>
      <c r="H1" s="337"/>
      <c r="I1" s="337"/>
      <c r="J1" s="337"/>
      <c r="K1" s="337"/>
      <c r="L1" s="337"/>
      <c r="M1" s="337"/>
      <c r="N1" s="337"/>
      <c r="O1" s="337"/>
      <c r="P1" s="337"/>
    </row>
    <row r="2" spans="1:16" s="2" customFormat="1" ht="17.25" customHeight="1">
      <c r="A2" s="338" t="s">
        <v>1</v>
      </c>
      <c r="B2" s="338"/>
      <c r="C2" s="338"/>
      <c r="D2" s="338"/>
      <c r="E2" s="338"/>
      <c r="F2" s="338"/>
      <c r="G2" s="338"/>
      <c r="H2" s="338"/>
      <c r="I2" s="338"/>
      <c r="J2" s="338"/>
      <c r="K2" s="338"/>
      <c r="L2" s="338"/>
      <c r="M2" s="338"/>
      <c r="N2" s="338"/>
      <c r="O2" s="338"/>
      <c r="P2" s="338"/>
    </row>
    <row r="3" spans="1:16" s="3" customFormat="1" ht="10.5" customHeight="1">
      <c r="A3" s="339" t="s">
        <v>2</v>
      </c>
      <c r="B3" s="339"/>
      <c r="C3" s="339"/>
      <c r="D3" s="339"/>
      <c r="E3" s="339"/>
      <c r="F3" s="339"/>
      <c r="G3" s="339"/>
      <c r="H3" s="339"/>
      <c r="I3" s="339"/>
      <c r="J3" s="339"/>
      <c r="K3" s="339"/>
      <c r="L3" s="339"/>
      <c r="M3" s="339"/>
      <c r="N3" s="339"/>
      <c r="O3" s="339"/>
      <c r="P3" s="339"/>
    </row>
    <row r="4" spans="1:16" s="9" customFormat="1" ht="15.75" customHeight="1">
      <c r="A4" s="4"/>
      <c r="B4" s="5"/>
      <c r="C4" s="6"/>
      <c r="D4" s="7"/>
      <c r="E4" s="5"/>
      <c r="F4" s="4"/>
      <c r="G4" s="4"/>
      <c r="H4" s="4"/>
      <c r="I4" s="4"/>
      <c r="J4" s="4"/>
      <c r="K4" s="4"/>
      <c r="L4" s="4"/>
      <c r="M4" s="8"/>
      <c r="N4" s="8"/>
      <c r="O4" s="8"/>
      <c r="P4" s="8"/>
    </row>
    <row r="5" spans="1:16" s="10" customFormat="1" ht="14.25" customHeight="1">
      <c r="A5" s="340" t="s">
        <v>3</v>
      </c>
      <c r="B5" s="340"/>
      <c r="C5" s="340"/>
      <c r="D5" s="341" t="s">
        <v>359</v>
      </c>
      <c r="E5" s="341"/>
      <c r="F5" s="341"/>
      <c r="G5" s="341"/>
      <c r="H5" s="341"/>
      <c r="I5" s="341"/>
      <c r="J5" s="341"/>
      <c r="K5" s="341"/>
      <c r="L5" s="341"/>
      <c r="M5" s="341"/>
      <c r="N5" s="341"/>
      <c r="O5" s="341"/>
      <c r="P5" s="341"/>
    </row>
    <row r="6" spans="1:16" s="10" customFormat="1" ht="14.25" customHeight="1">
      <c r="A6" s="340" t="s">
        <v>4</v>
      </c>
      <c r="B6" s="340"/>
      <c r="C6" s="340"/>
      <c r="D6" s="341" t="s">
        <v>360</v>
      </c>
      <c r="E6" s="341"/>
      <c r="F6" s="341"/>
      <c r="G6" s="341"/>
      <c r="H6" s="341"/>
      <c r="I6" s="341"/>
      <c r="J6" s="341"/>
      <c r="K6" s="341"/>
      <c r="L6" s="341"/>
      <c r="M6" s="341"/>
      <c r="N6" s="341"/>
      <c r="O6" s="341"/>
      <c r="P6" s="341"/>
    </row>
    <row r="7" spans="1:16" s="10" customFormat="1" ht="16.5">
      <c r="A7" s="335" t="s">
        <v>5</v>
      </c>
      <c r="B7" s="335"/>
      <c r="C7" s="335"/>
      <c r="D7" s="341" t="s">
        <v>197</v>
      </c>
      <c r="E7" s="341"/>
      <c r="F7" s="341"/>
      <c r="G7" s="341"/>
      <c r="H7" s="341"/>
      <c r="I7" s="341"/>
      <c r="J7" s="341"/>
      <c r="K7" s="341"/>
      <c r="L7" s="341"/>
      <c r="M7" s="341"/>
      <c r="N7" s="341"/>
      <c r="O7" s="341"/>
      <c r="P7" s="341"/>
    </row>
    <row r="8" spans="1:16" s="10" customFormat="1" ht="16.5" customHeight="1">
      <c r="A8" s="335" t="s">
        <v>6</v>
      </c>
      <c r="B8" s="335"/>
      <c r="C8" s="335"/>
      <c r="D8" s="342" t="s">
        <v>198</v>
      </c>
      <c r="E8" s="342"/>
      <c r="F8" s="342"/>
      <c r="G8" s="342"/>
      <c r="H8" s="342"/>
      <c r="I8" s="342"/>
      <c r="J8" s="342"/>
      <c r="K8" s="342"/>
      <c r="L8" s="342"/>
      <c r="M8" s="342"/>
      <c r="N8" s="342"/>
      <c r="O8" s="342"/>
      <c r="P8" s="342"/>
    </row>
    <row r="9" spans="1:16" s="10" customFormat="1" ht="55.5" customHeight="1">
      <c r="A9" s="362" t="s">
        <v>314</v>
      </c>
      <c r="B9" s="362"/>
      <c r="C9" s="362" t="s">
        <v>315</v>
      </c>
      <c r="D9" s="362"/>
      <c r="E9" s="362"/>
      <c r="F9" s="362"/>
      <c r="G9" s="362"/>
      <c r="H9" s="362"/>
      <c r="I9" s="362"/>
      <c r="J9" s="362"/>
      <c r="K9" s="362"/>
      <c r="L9" s="362"/>
      <c r="M9" s="362"/>
      <c r="N9" s="362"/>
      <c r="O9" s="362"/>
      <c r="P9" s="362"/>
    </row>
    <row r="10" spans="1:16" s="16" customFormat="1" ht="16.5">
      <c r="A10" s="348"/>
      <c r="B10" s="348"/>
      <c r="C10" s="348"/>
      <c r="D10" s="13"/>
      <c r="E10" s="13"/>
      <c r="F10" s="14"/>
      <c r="G10" s="13"/>
      <c r="H10" s="13"/>
      <c r="I10" s="13"/>
      <c r="J10" s="13"/>
      <c r="K10" s="13"/>
      <c r="L10" s="14"/>
      <c r="M10" s="15"/>
      <c r="N10" s="15"/>
      <c r="O10" s="15"/>
      <c r="P10" s="15"/>
    </row>
    <row r="11" spans="1:16" s="16" customFormat="1" ht="16.5">
      <c r="A11" s="17" t="s">
        <v>312</v>
      </c>
      <c r="B11" s="17"/>
      <c r="C11" s="17"/>
      <c r="D11" s="17"/>
      <c r="E11" s="17"/>
      <c r="F11" s="12"/>
      <c r="G11" s="12"/>
      <c r="H11" s="12"/>
      <c r="I11" s="12"/>
      <c r="J11" s="12"/>
      <c r="K11" s="12"/>
      <c r="L11" s="18"/>
      <c r="M11" s="18" t="s">
        <v>7</v>
      </c>
      <c r="N11" s="19"/>
      <c r="O11" s="336">
        <f>P90</f>
        <v>0</v>
      </c>
      <c r="P11" s="336"/>
    </row>
    <row r="12" spans="1:16" s="11" customFormat="1" ht="16.5">
      <c r="A12" s="345" t="s">
        <v>313</v>
      </c>
      <c r="B12" s="345"/>
      <c r="C12" s="345"/>
      <c r="D12" s="345"/>
      <c r="E12" s="345"/>
      <c r="F12" s="345"/>
      <c r="G12" s="345"/>
      <c r="H12" s="345"/>
      <c r="I12" s="345"/>
      <c r="J12" s="345"/>
      <c r="K12" s="345"/>
      <c r="L12" s="345"/>
      <c r="M12" s="345"/>
      <c r="N12" s="345"/>
      <c r="O12" s="345"/>
      <c r="P12" s="345"/>
    </row>
    <row r="13" spans="1:16" s="11" customFormat="1" ht="16.5" customHeight="1" hidden="1">
      <c r="A13" s="346"/>
      <c r="B13" s="346"/>
      <c r="C13" s="346"/>
      <c r="D13" s="346"/>
      <c r="E13" s="20"/>
      <c r="F13" s="21"/>
      <c r="G13" s="21"/>
      <c r="H13" s="21"/>
      <c r="I13" s="21">
        <v>3</v>
      </c>
      <c r="J13" s="21"/>
      <c r="K13" s="21"/>
      <c r="L13" s="21"/>
      <c r="M13" s="22"/>
      <c r="N13" s="22"/>
      <c r="O13" s="22"/>
      <c r="P13" s="23"/>
    </row>
    <row r="14" spans="1:16" s="28" customFormat="1" ht="16.5">
      <c r="A14" s="24"/>
      <c r="B14" s="24"/>
      <c r="C14" s="25"/>
      <c r="D14" s="25"/>
      <c r="E14" s="26"/>
      <c r="F14" s="24"/>
      <c r="G14" s="24"/>
      <c r="H14" s="24"/>
      <c r="I14" s="24"/>
      <c r="J14" s="24"/>
      <c r="K14" s="24"/>
      <c r="L14" s="24"/>
      <c r="M14" s="27"/>
      <c r="N14" s="27"/>
      <c r="O14" s="27"/>
      <c r="P14" s="27"/>
    </row>
    <row r="15" spans="1:16" s="31" customFormat="1" ht="12.75" customHeight="1">
      <c r="A15" s="344" t="s">
        <v>8</v>
      </c>
      <c r="B15" s="344" t="s">
        <v>9</v>
      </c>
      <c r="C15" s="347" t="s">
        <v>10</v>
      </c>
      <c r="D15" s="344" t="s">
        <v>11</v>
      </c>
      <c r="E15" s="344" t="s">
        <v>12</v>
      </c>
      <c r="F15" s="344" t="s">
        <v>13</v>
      </c>
      <c r="G15" s="344"/>
      <c r="H15" s="344"/>
      <c r="I15" s="344"/>
      <c r="J15" s="344"/>
      <c r="K15" s="344"/>
      <c r="L15" s="344" t="s">
        <v>325</v>
      </c>
      <c r="M15" s="344"/>
      <c r="N15" s="344"/>
      <c r="O15" s="344"/>
      <c r="P15" s="344"/>
    </row>
    <row r="16" spans="1:16" s="31" customFormat="1" ht="51">
      <c r="A16" s="344"/>
      <c r="B16" s="344"/>
      <c r="C16" s="347"/>
      <c r="D16" s="344"/>
      <c r="E16" s="344"/>
      <c r="F16" s="29" t="s">
        <v>14</v>
      </c>
      <c r="G16" s="29" t="s">
        <v>316</v>
      </c>
      <c r="H16" s="29" t="s">
        <v>317</v>
      </c>
      <c r="I16" s="29" t="s">
        <v>318</v>
      </c>
      <c r="J16" s="29" t="s">
        <v>319</v>
      </c>
      <c r="K16" s="29" t="s">
        <v>320</v>
      </c>
      <c r="L16" s="29" t="s">
        <v>16</v>
      </c>
      <c r="M16" s="29" t="s">
        <v>321</v>
      </c>
      <c r="N16" s="29" t="s">
        <v>322</v>
      </c>
      <c r="O16" s="29" t="s">
        <v>323</v>
      </c>
      <c r="P16" s="29" t="s">
        <v>324</v>
      </c>
    </row>
    <row r="17" spans="1:16" s="31" customFormat="1" ht="12.75" customHeight="1">
      <c r="A17" s="30">
        <v>1</v>
      </c>
      <c r="B17" s="30"/>
      <c r="C17" s="32">
        <v>2</v>
      </c>
      <c r="D17" s="30">
        <v>3</v>
      </c>
      <c r="E17" s="30">
        <v>4</v>
      </c>
      <c r="F17" s="30">
        <v>5</v>
      </c>
      <c r="G17" s="30">
        <v>6</v>
      </c>
      <c r="H17" s="30">
        <v>7</v>
      </c>
      <c r="I17" s="30">
        <v>8</v>
      </c>
      <c r="J17" s="30">
        <v>9</v>
      </c>
      <c r="K17" s="30">
        <v>10</v>
      </c>
      <c r="L17" s="30">
        <v>11</v>
      </c>
      <c r="M17" s="30">
        <v>12</v>
      </c>
      <c r="N17" s="30">
        <v>13</v>
      </c>
      <c r="O17" s="30">
        <v>14</v>
      </c>
      <c r="P17" s="30">
        <v>15</v>
      </c>
    </row>
    <row r="18" spans="1:16" s="37" customFormat="1" ht="16.5">
      <c r="A18" s="33"/>
      <c r="B18" s="33"/>
      <c r="C18" s="33" t="s">
        <v>41</v>
      </c>
      <c r="D18" s="34"/>
      <c r="E18" s="34"/>
      <c r="F18" s="33"/>
      <c r="G18" s="35"/>
      <c r="H18" s="33">
        <f>ROUND(F18*G18,2)</f>
        <v>0</v>
      </c>
      <c r="I18" s="33"/>
      <c r="J18" s="33"/>
      <c r="K18" s="36">
        <f>SUM(H18:J18)</f>
        <v>0</v>
      </c>
      <c r="L18" s="36">
        <f>ROUND(E18*F18,2)</f>
        <v>0</v>
      </c>
      <c r="M18" s="36">
        <f>ROUND(E18*H18,2)</f>
        <v>0</v>
      </c>
      <c r="N18" s="36">
        <f>ROUND(E18*I18,2)</f>
        <v>0</v>
      </c>
      <c r="O18" s="36">
        <f>ROUND(E18*J18,2)</f>
        <v>0</v>
      </c>
      <c r="P18" s="36">
        <f>SUM(M18:O18)</f>
        <v>0</v>
      </c>
    </row>
    <row r="19" spans="1:16" s="44" customFormat="1" ht="33.75" customHeight="1">
      <c r="A19" s="38">
        <v>1</v>
      </c>
      <c r="B19" s="39"/>
      <c r="C19" s="40" t="s">
        <v>18</v>
      </c>
      <c r="D19" s="41" t="s">
        <v>17</v>
      </c>
      <c r="E19" s="42">
        <v>1956.4</v>
      </c>
      <c r="F19" s="42"/>
      <c r="G19" s="35"/>
      <c r="H19" s="43"/>
      <c r="I19" s="43"/>
      <c r="J19" s="43"/>
      <c r="K19" s="36"/>
      <c r="L19" s="36"/>
      <c r="M19" s="36"/>
      <c r="N19" s="36"/>
      <c r="O19" s="36"/>
      <c r="P19" s="36"/>
    </row>
    <row r="20" spans="1:16" s="44" customFormat="1" ht="18" customHeight="1">
      <c r="A20" s="38">
        <v>2</v>
      </c>
      <c r="B20" s="39"/>
      <c r="C20" s="40" t="s">
        <v>169</v>
      </c>
      <c r="D20" s="41" t="s">
        <v>31</v>
      </c>
      <c r="E20" s="42">
        <v>1</v>
      </c>
      <c r="F20" s="42"/>
      <c r="G20" s="35"/>
      <c r="H20" s="43"/>
      <c r="I20" s="43"/>
      <c r="J20" s="43"/>
      <c r="K20" s="36"/>
      <c r="L20" s="36"/>
      <c r="M20" s="36"/>
      <c r="N20" s="36"/>
      <c r="O20" s="36"/>
      <c r="P20" s="36"/>
    </row>
    <row r="21" spans="1:16" s="44" customFormat="1" ht="18" customHeight="1">
      <c r="A21" s="38">
        <v>3</v>
      </c>
      <c r="B21" s="39"/>
      <c r="C21" s="40" t="s">
        <v>170</v>
      </c>
      <c r="D21" s="41" t="s">
        <v>21</v>
      </c>
      <c r="E21" s="42">
        <v>16</v>
      </c>
      <c r="F21" s="42"/>
      <c r="G21" s="35"/>
      <c r="H21" s="43"/>
      <c r="I21" s="43"/>
      <c r="J21" s="43"/>
      <c r="K21" s="36"/>
      <c r="L21" s="36"/>
      <c r="M21" s="36"/>
      <c r="N21" s="36"/>
      <c r="O21" s="36"/>
      <c r="P21" s="36"/>
    </row>
    <row r="22" spans="1:16" s="206" customFormat="1" ht="33">
      <c r="A22" s="207">
        <v>4</v>
      </c>
      <c r="B22" s="205"/>
      <c r="C22" s="113" t="s">
        <v>145</v>
      </c>
      <c r="D22" s="114" t="s">
        <v>21</v>
      </c>
      <c r="E22" s="48">
        <v>15</v>
      </c>
      <c r="F22" s="225"/>
      <c r="G22" s="49"/>
      <c r="H22" s="49"/>
      <c r="I22" s="226"/>
      <c r="J22" s="226"/>
      <c r="K22" s="36"/>
      <c r="L22" s="36"/>
      <c r="M22" s="36"/>
      <c r="N22" s="36"/>
      <c r="O22" s="36"/>
      <c r="P22" s="36"/>
    </row>
    <row r="23" spans="1:16" s="230" customFormat="1" ht="17.25" customHeight="1">
      <c r="A23" s="228"/>
      <c r="B23" s="229"/>
      <c r="C23" s="231" t="s">
        <v>157</v>
      </c>
      <c r="D23" s="232" t="s">
        <v>33</v>
      </c>
      <c r="E23" s="233">
        <v>0.35</v>
      </c>
      <c r="F23" s="48"/>
      <c r="G23" s="48"/>
      <c r="H23" s="49"/>
      <c r="I23" s="48"/>
      <c r="J23" s="48"/>
      <c r="K23" s="36"/>
      <c r="L23" s="36"/>
      <c r="M23" s="36"/>
      <c r="N23" s="36"/>
      <c r="O23" s="36"/>
      <c r="P23" s="36"/>
    </row>
    <row r="24" spans="1:16" s="44" customFormat="1" ht="36.75" customHeight="1">
      <c r="A24" s="207">
        <v>5</v>
      </c>
      <c r="B24" s="46"/>
      <c r="C24" s="40" t="s">
        <v>210</v>
      </c>
      <c r="D24" s="41" t="s">
        <v>17</v>
      </c>
      <c r="E24" s="42">
        <v>10</v>
      </c>
      <c r="F24" s="43"/>
      <c r="G24" s="35"/>
      <c r="H24" s="43"/>
      <c r="I24" s="35"/>
      <c r="J24" s="35"/>
      <c r="K24" s="36"/>
      <c r="L24" s="36"/>
      <c r="M24" s="36"/>
      <c r="N24" s="36"/>
      <c r="O24" s="36"/>
      <c r="P24" s="36"/>
    </row>
    <row r="25" spans="1:16" s="230" customFormat="1" ht="17.25" customHeight="1">
      <c r="A25" s="228"/>
      <c r="B25" s="229"/>
      <c r="C25" s="231" t="s">
        <v>124</v>
      </c>
      <c r="D25" s="232" t="s">
        <v>19</v>
      </c>
      <c r="E25" s="233">
        <f>0.05*E24</f>
        <v>0.5</v>
      </c>
      <c r="F25" s="48"/>
      <c r="G25" s="48"/>
      <c r="H25" s="49"/>
      <c r="I25" s="48"/>
      <c r="J25" s="48"/>
      <c r="K25" s="36"/>
      <c r="L25" s="36"/>
      <c r="M25" s="36"/>
      <c r="N25" s="36"/>
      <c r="O25" s="36"/>
      <c r="P25" s="36"/>
    </row>
    <row r="26" spans="1:16" s="44" customFormat="1" ht="16.5">
      <c r="A26" s="38"/>
      <c r="B26" s="39"/>
      <c r="C26" s="45" t="s">
        <v>144</v>
      </c>
      <c r="D26" s="41" t="s">
        <v>17</v>
      </c>
      <c r="E26" s="42">
        <f>1.03*E24</f>
        <v>10.3</v>
      </c>
      <c r="F26" s="42"/>
      <c r="G26" s="35"/>
      <c r="H26" s="43"/>
      <c r="I26" s="43"/>
      <c r="J26" s="43"/>
      <c r="K26" s="36"/>
      <c r="L26" s="36"/>
      <c r="M26" s="36"/>
      <c r="N26" s="36"/>
      <c r="O26" s="36"/>
      <c r="P26" s="36"/>
    </row>
    <row r="27" spans="1:16" s="44" customFormat="1" ht="16.5">
      <c r="A27" s="38"/>
      <c r="B27" s="39"/>
      <c r="C27" s="45" t="s">
        <v>26</v>
      </c>
      <c r="D27" s="41" t="s">
        <v>17</v>
      </c>
      <c r="E27" s="42">
        <f>ROUND(1.15*E24,2)</f>
        <v>11.5</v>
      </c>
      <c r="F27" s="42"/>
      <c r="G27" s="35"/>
      <c r="H27" s="43"/>
      <c r="I27" s="43"/>
      <c r="J27" s="43"/>
      <c r="K27" s="36"/>
      <c r="L27" s="36"/>
      <c r="M27" s="36"/>
      <c r="N27" s="36"/>
      <c r="O27" s="36"/>
      <c r="P27" s="36"/>
    </row>
    <row r="28" spans="1:16" s="44" customFormat="1" ht="16.5">
      <c r="A28" s="38"/>
      <c r="B28" s="39"/>
      <c r="C28" s="45" t="s">
        <v>27</v>
      </c>
      <c r="D28" s="41" t="s">
        <v>19</v>
      </c>
      <c r="E28" s="42">
        <f>ROUND(E24*6,2)</f>
        <v>60</v>
      </c>
      <c r="F28" s="42"/>
      <c r="G28" s="35"/>
      <c r="H28" s="43"/>
      <c r="I28" s="43"/>
      <c r="J28" s="43"/>
      <c r="K28" s="36"/>
      <c r="L28" s="36"/>
      <c r="M28" s="36"/>
      <c r="N28" s="36"/>
      <c r="O28" s="36"/>
      <c r="P28" s="36"/>
    </row>
    <row r="29" spans="1:16" s="44" customFormat="1" ht="20.25" customHeight="1">
      <c r="A29" s="38">
        <v>6</v>
      </c>
      <c r="B29" s="39"/>
      <c r="C29" s="40" t="s">
        <v>171</v>
      </c>
      <c r="D29" s="41" t="s">
        <v>17</v>
      </c>
      <c r="E29" s="42">
        <v>5</v>
      </c>
      <c r="F29" s="42"/>
      <c r="G29" s="35"/>
      <c r="H29" s="43"/>
      <c r="I29" s="43"/>
      <c r="J29" s="43"/>
      <c r="K29" s="36"/>
      <c r="L29" s="36"/>
      <c r="M29" s="36"/>
      <c r="N29" s="36"/>
      <c r="O29" s="36"/>
      <c r="P29" s="36"/>
    </row>
    <row r="30" spans="1:16" s="44" customFormat="1" ht="16.5">
      <c r="A30" s="38"/>
      <c r="B30" s="39"/>
      <c r="C30" s="45" t="s">
        <v>126</v>
      </c>
      <c r="D30" s="41" t="s">
        <v>28</v>
      </c>
      <c r="E30" s="42">
        <f>0.35*E29</f>
        <v>1.75</v>
      </c>
      <c r="F30" s="42"/>
      <c r="G30" s="35"/>
      <c r="H30" s="43"/>
      <c r="I30" s="43"/>
      <c r="J30" s="43"/>
      <c r="K30" s="36"/>
      <c r="L30" s="36"/>
      <c r="M30" s="36"/>
      <c r="N30" s="36"/>
      <c r="O30" s="36"/>
      <c r="P30" s="36"/>
    </row>
    <row r="31" spans="1:16" s="44" customFormat="1" ht="33">
      <c r="A31" s="38">
        <v>7</v>
      </c>
      <c r="B31" s="39"/>
      <c r="C31" s="40" t="s">
        <v>211</v>
      </c>
      <c r="D31" s="41" t="s">
        <v>17</v>
      </c>
      <c r="E31" s="42">
        <v>1827.45</v>
      </c>
      <c r="F31" s="42"/>
      <c r="G31" s="35"/>
      <c r="H31" s="43"/>
      <c r="I31" s="43"/>
      <c r="J31" s="43"/>
      <c r="K31" s="36"/>
      <c r="L31" s="36"/>
      <c r="M31" s="36"/>
      <c r="N31" s="36"/>
      <c r="O31" s="36"/>
      <c r="P31" s="36"/>
    </row>
    <row r="32" spans="1:16" s="44" customFormat="1" ht="16.5">
      <c r="A32" s="38"/>
      <c r="B32" s="39"/>
      <c r="C32" s="45" t="s">
        <v>119</v>
      </c>
      <c r="D32" s="41" t="s">
        <v>28</v>
      </c>
      <c r="E32" s="42">
        <f>ROUND(E31*0.2,2)</f>
        <v>365.49</v>
      </c>
      <c r="F32" s="42"/>
      <c r="G32" s="35"/>
      <c r="H32" s="43"/>
      <c r="I32" s="43"/>
      <c r="J32" s="43"/>
      <c r="K32" s="36"/>
      <c r="L32" s="36"/>
      <c r="M32" s="36"/>
      <c r="N32" s="36"/>
      <c r="O32" s="36"/>
      <c r="P32" s="36"/>
    </row>
    <row r="33" spans="1:16" s="44" customFormat="1" ht="49.5">
      <c r="A33" s="38">
        <v>8</v>
      </c>
      <c r="B33" s="39"/>
      <c r="C33" s="40" t="s">
        <v>260</v>
      </c>
      <c r="D33" s="41" t="s">
        <v>17</v>
      </c>
      <c r="E33" s="42">
        <f>E31</f>
        <v>1827.45</v>
      </c>
      <c r="F33" s="42"/>
      <c r="G33" s="35"/>
      <c r="H33" s="43"/>
      <c r="I33" s="43"/>
      <c r="J33" s="43"/>
      <c r="K33" s="36"/>
      <c r="L33" s="36"/>
      <c r="M33" s="36"/>
      <c r="N33" s="36"/>
      <c r="O33" s="36"/>
      <c r="P33" s="36"/>
    </row>
    <row r="34" spans="1:16" s="230" customFormat="1" ht="17.25" customHeight="1">
      <c r="A34" s="228"/>
      <c r="B34" s="229"/>
      <c r="C34" s="231" t="s">
        <v>124</v>
      </c>
      <c r="D34" s="232" t="s">
        <v>19</v>
      </c>
      <c r="E34" s="233">
        <f>0.05*E33</f>
        <v>91.3725</v>
      </c>
      <c r="F34" s="48"/>
      <c r="G34" s="48"/>
      <c r="H34" s="49"/>
      <c r="I34" s="48"/>
      <c r="J34" s="48"/>
      <c r="K34" s="36"/>
      <c r="L34" s="36"/>
      <c r="M34" s="36"/>
      <c r="N34" s="36"/>
      <c r="O34" s="36"/>
      <c r="P34" s="36"/>
    </row>
    <row r="35" spans="1:16" s="44" customFormat="1" ht="33">
      <c r="A35" s="38"/>
      <c r="B35" s="39"/>
      <c r="C35" s="45" t="s">
        <v>261</v>
      </c>
      <c r="D35" s="41" t="s">
        <v>17</v>
      </c>
      <c r="E35" s="42">
        <f>E33*1.03</f>
        <v>1882.2735</v>
      </c>
      <c r="F35" s="42"/>
      <c r="G35" s="35"/>
      <c r="H35" s="43"/>
      <c r="I35" s="43"/>
      <c r="J35" s="43"/>
      <c r="K35" s="36"/>
      <c r="L35" s="36"/>
      <c r="M35" s="36"/>
      <c r="N35" s="36"/>
      <c r="O35" s="36"/>
      <c r="P35" s="36"/>
    </row>
    <row r="36" spans="1:16" s="44" customFormat="1" ht="16.5">
      <c r="A36" s="38"/>
      <c r="B36" s="39"/>
      <c r="C36" s="45" t="s">
        <v>20</v>
      </c>
      <c r="D36" s="41" t="s">
        <v>21</v>
      </c>
      <c r="E36" s="42">
        <v>240</v>
      </c>
      <c r="F36" s="42"/>
      <c r="G36" s="35"/>
      <c r="H36" s="43"/>
      <c r="I36" s="43"/>
      <c r="J36" s="43"/>
      <c r="K36" s="36"/>
      <c r="L36" s="36"/>
      <c r="M36" s="36"/>
      <c r="N36" s="36"/>
      <c r="O36" s="36"/>
      <c r="P36" s="36"/>
    </row>
    <row r="37" spans="1:16" s="44" customFormat="1" ht="16.5">
      <c r="A37" s="38"/>
      <c r="B37" s="39"/>
      <c r="C37" s="45" t="s">
        <v>22</v>
      </c>
      <c r="D37" s="41" t="s">
        <v>23</v>
      </c>
      <c r="E37" s="42">
        <f>ROUND(2*E36,2)</f>
        <v>480</v>
      </c>
      <c r="F37" s="42"/>
      <c r="G37" s="35"/>
      <c r="H37" s="43"/>
      <c r="I37" s="43"/>
      <c r="J37" s="43"/>
      <c r="K37" s="36"/>
      <c r="L37" s="36"/>
      <c r="M37" s="36"/>
      <c r="N37" s="36"/>
      <c r="O37" s="36"/>
      <c r="P37" s="36"/>
    </row>
    <row r="38" spans="1:16" s="44" customFormat="1" ht="16.5">
      <c r="A38" s="38"/>
      <c r="B38" s="39"/>
      <c r="C38" s="45" t="s">
        <v>24</v>
      </c>
      <c r="D38" s="41" t="s">
        <v>19</v>
      </c>
      <c r="E38" s="42">
        <f>ROUND(10*E33,2)</f>
        <v>18274.5</v>
      </c>
      <c r="F38" s="42"/>
      <c r="G38" s="35"/>
      <c r="H38" s="43"/>
      <c r="I38" s="43"/>
      <c r="J38" s="43"/>
      <c r="K38" s="36"/>
      <c r="L38" s="36"/>
      <c r="M38" s="36"/>
      <c r="N38" s="36"/>
      <c r="O38" s="36"/>
      <c r="P38" s="36"/>
    </row>
    <row r="39" spans="1:16" s="44" customFormat="1" ht="33">
      <c r="A39" s="38"/>
      <c r="B39" s="39"/>
      <c r="C39" s="45" t="s">
        <v>262</v>
      </c>
      <c r="D39" s="41" t="s">
        <v>23</v>
      </c>
      <c r="E39" s="42">
        <v>9137.25</v>
      </c>
      <c r="F39" s="42"/>
      <c r="G39" s="35"/>
      <c r="H39" s="43"/>
      <c r="I39" s="43"/>
      <c r="J39" s="43"/>
      <c r="K39" s="36"/>
      <c r="L39" s="36"/>
      <c r="M39" s="36"/>
      <c r="N39" s="36"/>
      <c r="O39" s="36"/>
      <c r="P39" s="36"/>
    </row>
    <row r="40" spans="1:16" s="44" customFormat="1" ht="16.5">
      <c r="A40" s="38">
        <v>9</v>
      </c>
      <c r="B40" s="39"/>
      <c r="C40" s="40" t="s">
        <v>259</v>
      </c>
      <c r="D40" s="41" t="s">
        <v>17</v>
      </c>
      <c r="E40" s="42">
        <v>11.5</v>
      </c>
      <c r="F40" s="42"/>
      <c r="G40" s="35"/>
      <c r="H40" s="43"/>
      <c r="I40" s="43"/>
      <c r="J40" s="43"/>
      <c r="K40" s="36"/>
      <c r="L40" s="36"/>
      <c r="M40" s="36"/>
      <c r="N40" s="36"/>
      <c r="O40" s="36"/>
      <c r="P40" s="36"/>
    </row>
    <row r="41" spans="1:16" s="279" customFormat="1" ht="17.25" customHeight="1">
      <c r="A41" s="228"/>
      <c r="B41" s="267"/>
      <c r="C41" s="231" t="s">
        <v>124</v>
      </c>
      <c r="D41" s="232" t="s">
        <v>19</v>
      </c>
      <c r="E41" s="233">
        <f>0.05*E40</f>
        <v>0.5750000000000001</v>
      </c>
      <c r="F41" s="48"/>
      <c r="G41" s="48"/>
      <c r="H41" s="49"/>
      <c r="I41" s="48"/>
      <c r="J41" s="48"/>
      <c r="K41" s="36"/>
      <c r="L41" s="36"/>
      <c r="M41" s="36"/>
      <c r="N41" s="36"/>
      <c r="O41" s="36"/>
      <c r="P41" s="36"/>
    </row>
    <row r="42" spans="1:16" s="44" customFormat="1" ht="16.5">
      <c r="A42" s="38"/>
      <c r="B42" s="39"/>
      <c r="C42" s="45" t="s">
        <v>263</v>
      </c>
      <c r="D42" s="41" t="s">
        <v>17</v>
      </c>
      <c r="E42" s="42">
        <f>ROUND(1.05*E40,2)</f>
        <v>12.08</v>
      </c>
      <c r="F42" s="42"/>
      <c r="G42" s="35"/>
      <c r="H42" s="43"/>
      <c r="I42" s="43"/>
      <c r="J42" s="43"/>
      <c r="K42" s="36"/>
      <c r="L42" s="36"/>
      <c r="M42" s="36"/>
      <c r="N42" s="36"/>
      <c r="O42" s="36"/>
      <c r="P42" s="36"/>
    </row>
    <row r="43" spans="1:16" s="44" customFormat="1" ht="16.5">
      <c r="A43" s="38"/>
      <c r="B43" s="39"/>
      <c r="C43" s="45" t="s">
        <v>24</v>
      </c>
      <c r="D43" s="41" t="s">
        <v>19</v>
      </c>
      <c r="E43" s="42">
        <f>ROUND(5*E40,2)</f>
        <v>57.5</v>
      </c>
      <c r="F43" s="42"/>
      <c r="G43" s="35"/>
      <c r="H43" s="43"/>
      <c r="I43" s="43"/>
      <c r="J43" s="43"/>
      <c r="K43" s="36"/>
      <c r="L43" s="36"/>
      <c r="M43" s="36"/>
      <c r="N43" s="36"/>
      <c r="O43" s="36"/>
      <c r="P43" s="36"/>
    </row>
    <row r="44" spans="1:16" s="44" customFormat="1" ht="16.5">
      <c r="A44" s="38"/>
      <c r="B44" s="39"/>
      <c r="C44" s="45" t="s">
        <v>25</v>
      </c>
      <c r="D44" s="41" t="s">
        <v>23</v>
      </c>
      <c r="E44" s="42">
        <f>ROUND(4*E40,2)</f>
        <v>46</v>
      </c>
      <c r="F44" s="42"/>
      <c r="G44" s="35"/>
      <c r="H44" s="43"/>
      <c r="I44" s="43"/>
      <c r="J44" s="43"/>
      <c r="K44" s="36"/>
      <c r="L44" s="36"/>
      <c r="M44" s="36"/>
      <c r="N44" s="36"/>
      <c r="O44" s="36"/>
      <c r="P44" s="36"/>
    </row>
    <row r="45" spans="1:16" s="44" customFormat="1" ht="16.5">
      <c r="A45" s="38">
        <v>10</v>
      </c>
      <c r="B45" s="39"/>
      <c r="C45" s="40" t="s">
        <v>116</v>
      </c>
      <c r="D45" s="41" t="s">
        <v>17</v>
      </c>
      <c r="E45" s="42">
        <f>E40+E33</f>
        <v>1838.95</v>
      </c>
      <c r="F45" s="42"/>
      <c r="G45" s="35"/>
      <c r="H45" s="43"/>
      <c r="I45" s="43"/>
      <c r="J45" s="43"/>
      <c r="K45" s="36"/>
      <c r="L45" s="36"/>
      <c r="M45" s="36"/>
      <c r="N45" s="36"/>
      <c r="O45" s="36"/>
      <c r="P45" s="36"/>
    </row>
    <row r="46" spans="1:16" s="44" customFormat="1" ht="16.5">
      <c r="A46" s="38"/>
      <c r="B46" s="39"/>
      <c r="C46" s="45" t="s">
        <v>26</v>
      </c>
      <c r="D46" s="41" t="s">
        <v>17</v>
      </c>
      <c r="E46" s="42">
        <f>ROUND(1.15*E45,2)</f>
        <v>2114.79</v>
      </c>
      <c r="F46" s="42"/>
      <c r="G46" s="35"/>
      <c r="H46" s="43"/>
      <c r="I46" s="43"/>
      <c r="J46" s="43"/>
      <c r="K46" s="36"/>
      <c r="L46" s="36"/>
      <c r="M46" s="36"/>
      <c r="N46" s="36"/>
      <c r="O46" s="36"/>
      <c r="P46" s="36"/>
    </row>
    <row r="47" spans="1:16" s="44" customFormat="1" ht="16.5">
      <c r="A47" s="38"/>
      <c r="B47" s="39"/>
      <c r="C47" s="45" t="s">
        <v>27</v>
      </c>
      <c r="D47" s="41" t="s">
        <v>19</v>
      </c>
      <c r="E47" s="42">
        <f>ROUND(E45*6,2)</f>
        <v>11033.7</v>
      </c>
      <c r="F47" s="42"/>
      <c r="G47" s="35"/>
      <c r="H47" s="43"/>
      <c r="I47" s="43"/>
      <c r="J47" s="43"/>
      <c r="K47" s="36"/>
      <c r="L47" s="36"/>
      <c r="M47" s="36"/>
      <c r="N47" s="36"/>
      <c r="O47" s="36"/>
      <c r="P47" s="36"/>
    </row>
    <row r="48" spans="1:16" s="44" customFormat="1" ht="16.5">
      <c r="A48" s="38"/>
      <c r="B48" s="39"/>
      <c r="C48" s="45" t="s">
        <v>123</v>
      </c>
      <c r="D48" s="41" t="s">
        <v>17</v>
      </c>
      <c r="E48" s="42">
        <f>E45</f>
        <v>1838.95</v>
      </c>
      <c r="F48" s="42"/>
      <c r="G48" s="35"/>
      <c r="H48" s="43"/>
      <c r="I48" s="43"/>
      <c r="J48" s="43"/>
      <c r="K48" s="36"/>
      <c r="L48" s="36"/>
      <c r="M48" s="36"/>
      <c r="N48" s="36"/>
      <c r="O48" s="36"/>
      <c r="P48" s="36"/>
    </row>
    <row r="49" spans="1:16" s="206" customFormat="1" ht="16.5">
      <c r="A49" s="207"/>
      <c r="B49" s="205"/>
      <c r="C49" s="209" t="s">
        <v>106</v>
      </c>
      <c r="D49" s="52" t="s">
        <v>19</v>
      </c>
      <c r="E49" s="48">
        <f>E48*0.15</f>
        <v>275.8425</v>
      </c>
      <c r="F49" s="216"/>
      <c r="G49" s="49"/>
      <c r="H49" s="49"/>
      <c r="I49" s="49"/>
      <c r="J49" s="49"/>
      <c r="K49" s="36"/>
      <c r="L49" s="36"/>
      <c r="M49" s="36"/>
      <c r="N49" s="36"/>
      <c r="O49" s="36"/>
      <c r="P49" s="36"/>
    </row>
    <row r="50" spans="1:16" s="44" customFormat="1" ht="18" customHeight="1">
      <c r="A50" s="38">
        <v>11</v>
      </c>
      <c r="B50" s="39"/>
      <c r="C50" s="40" t="s">
        <v>163</v>
      </c>
      <c r="D50" s="41" t="s">
        <v>17</v>
      </c>
      <c r="E50" s="42">
        <f>E31</f>
        <v>1827.45</v>
      </c>
      <c r="F50" s="42"/>
      <c r="G50" s="35"/>
      <c r="H50" s="43"/>
      <c r="I50" s="43"/>
      <c r="J50" s="43"/>
      <c r="K50" s="36"/>
      <c r="L50" s="36"/>
      <c r="M50" s="36"/>
      <c r="N50" s="36"/>
      <c r="O50" s="36"/>
      <c r="P50" s="36"/>
    </row>
    <row r="51" spans="1:16" s="230" customFormat="1" ht="17.25" customHeight="1">
      <c r="A51" s="228"/>
      <c r="B51" s="229"/>
      <c r="C51" s="231" t="s">
        <v>91</v>
      </c>
      <c r="D51" s="232" t="s">
        <v>17</v>
      </c>
      <c r="E51" s="233">
        <f>E50</f>
        <v>1827.45</v>
      </c>
      <c r="F51" s="48"/>
      <c r="G51" s="48"/>
      <c r="H51" s="234"/>
      <c r="I51" s="48"/>
      <c r="J51" s="48"/>
      <c r="K51" s="36"/>
      <c r="L51" s="36"/>
      <c r="M51" s="36"/>
      <c r="N51" s="36"/>
      <c r="O51" s="36"/>
      <c r="P51" s="36"/>
    </row>
    <row r="52" spans="1:16" s="230" customFormat="1" ht="18.75" customHeight="1">
      <c r="A52" s="228"/>
      <c r="B52" s="267"/>
      <c r="C52" s="231" t="s">
        <v>164</v>
      </c>
      <c r="D52" s="232" t="s">
        <v>19</v>
      </c>
      <c r="E52" s="233">
        <f>E50*4</f>
        <v>7309.8</v>
      </c>
      <c r="F52" s="48"/>
      <c r="G52" s="48"/>
      <c r="H52" s="234"/>
      <c r="I52" s="48"/>
      <c r="J52" s="48"/>
      <c r="K52" s="36"/>
      <c r="L52" s="36"/>
      <c r="M52" s="36"/>
      <c r="N52" s="36"/>
      <c r="O52" s="36"/>
      <c r="P52" s="36"/>
    </row>
    <row r="53" spans="1:16" s="206" customFormat="1" ht="33">
      <c r="A53" s="207">
        <v>12</v>
      </c>
      <c r="B53" s="205"/>
      <c r="C53" s="47" t="s">
        <v>117</v>
      </c>
      <c r="D53" s="52" t="s">
        <v>90</v>
      </c>
      <c r="E53" s="48">
        <f>E48</f>
        <v>1838.95</v>
      </c>
      <c r="F53" s="216"/>
      <c r="G53" s="49"/>
      <c r="H53" s="49"/>
      <c r="I53" s="49"/>
      <c r="J53" s="49"/>
      <c r="K53" s="36"/>
      <c r="L53" s="36"/>
      <c r="M53" s="36"/>
      <c r="N53" s="36"/>
      <c r="O53" s="36"/>
      <c r="P53" s="36"/>
    </row>
    <row r="54" spans="1:16" s="206" customFormat="1" ht="16.5">
      <c r="A54" s="207"/>
      <c r="B54" s="205"/>
      <c r="C54" s="209" t="s">
        <v>115</v>
      </c>
      <c r="D54" s="52" t="s">
        <v>19</v>
      </c>
      <c r="E54" s="48">
        <f>E53*0.5</f>
        <v>919.475</v>
      </c>
      <c r="F54" s="216"/>
      <c r="G54" s="49"/>
      <c r="H54" s="49"/>
      <c r="I54" s="49"/>
      <c r="J54" s="49"/>
      <c r="K54" s="36"/>
      <c r="L54" s="36"/>
      <c r="M54" s="36"/>
      <c r="N54" s="36"/>
      <c r="O54" s="36"/>
      <c r="P54" s="36"/>
    </row>
    <row r="55" spans="1:16" s="206" customFormat="1" ht="16.5">
      <c r="A55" s="207"/>
      <c r="B55" s="205"/>
      <c r="C55" s="209" t="s">
        <v>107</v>
      </c>
      <c r="D55" s="52" t="s">
        <v>19</v>
      </c>
      <c r="E55" s="48">
        <f>E53*0.35</f>
        <v>643.6324999999999</v>
      </c>
      <c r="F55" s="216"/>
      <c r="G55" s="49"/>
      <c r="H55" s="49"/>
      <c r="I55" s="49"/>
      <c r="J55" s="49"/>
      <c r="K55" s="36"/>
      <c r="L55" s="36"/>
      <c r="M55" s="36"/>
      <c r="N55" s="36"/>
      <c r="O55" s="36"/>
      <c r="P55" s="36"/>
    </row>
    <row r="56" spans="1:16" s="37" customFormat="1" ht="16.5">
      <c r="A56" s="207"/>
      <c r="B56" s="53"/>
      <c r="C56" s="53" t="s">
        <v>32</v>
      </c>
      <c r="D56" s="53"/>
      <c r="E56" s="53"/>
      <c r="F56" s="53"/>
      <c r="G56" s="35"/>
      <c r="H56" s="43"/>
      <c r="I56" s="53"/>
      <c r="J56" s="53"/>
      <c r="K56" s="36"/>
      <c r="L56" s="36"/>
      <c r="M56" s="36"/>
      <c r="N56" s="36"/>
      <c r="O56" s="36"/>
      <c r="P56" s="36"/>
    </row>
    <row r="57" spans="1:16" s="44" customFormat="1" ht="33">
      <c r="A57" s="38">
        <v>13</v>
      </c>
      <c r="B57" s="46"/>
      <c r="C57" s="40" t="s">
        <v>120</v>
      </c>
      <c r="D57" s="41" t="s">
        <v>17</v>
      </c>
      <c r="E57" s="42">
        <v>198.72</v>
      </c>
      <c r="F57" s="43"/>
      <c r="G57" s="35"/>
      <c r="H57" s="43"/>
      <c r="I57" s="35"/>
      <c r="J57" s="35"/>
      <c r="K57" s="36"/>
      <c r="L57" s="36"/>
      <c r="M57" s="36"/>
      <c r="N57" s="36"/>
      <c r="O57" s="36"/>
      <c r="P57" s="36"/>
    </row>
    <row r="58" spans="1:16" s="44" customFormat="1" ht="17.25" customHeight="1">
      <c r="A58" s="38">
        <v>14</v>
      </c>
      <c r="B58" s="39"/>
      <c r="C58" s="40" t="s">
        <v>130</v>
      </c>
      <c r="D58" s="41" t="s">
        <v>17</v>
      </c>
      <c r="E58" s="42">
        <f>E66*0.3</f>
        <v>25.92</v>
      </c>
      <c r="F58" s="42"/>
      <c r="G58" s="35"/>
      <c r="H58" s="43"/>
      <c r="I58" s="43"/>
      <c r="J58" s="43"/>
      <c r="K58" s="36"/>
      <c r="L58" s="36"/>
      <c r="M58" s="36"/>
      <c r="N58" s="36"/>
      <c r="O58" s="36"/>
      <c r="P58" s="36"/>
    </row>
    <row r="59" spans="1:16" s="44" customFormat="1" ht="54" customHeight="1">
      <c r="A59" s="207">
        <v>15</v>
      </c>
      <c r="B59" s="39"/>
      <c r="C59" s="40" t="s">
        <v>165</v>
      </c>
      <c r="D59" s="41" t="s">
        <v>17</v>
      </c>
      <c r="E59" s="42">
        <v>86.4</v>
      </c>
      <c r="F59" s="42"/>
      <c r="G59" s="35"/>
      <c r="H59" s="43"/>
      <c r="I59" s="43"/>
      <c r="J59" s="43"/>
      <c r="K59" s="36"/>
      <c r="L59" s="36"/>
      <c r="M59" s="36"/>
      <c r="N59" s="36"/>
      <c r="O59" s="36"/>
      <c r="P59" s="36"/>
    </row>
    <row r="60" spans="1:16" s="230" customFormat="1" ht="17.25" customHeight="1">
      <c r="A60" s="228"/>
      <c r="B60" s="229"/>
      <c r="C60" s="231" t="s">
        <v>91</v>
      </c>
      <c r="D60" s="232" t="s">
        <v>19</v>
      </c>
      <c r="E60" s="233">
        <f>0.05*E59</f>
        <v>4.32</v>
      </c>
      <c r="F60" s="48"/>
      <c r="G60" s="48"/>
      <c r="H60" s="49"/>
      <c r="I60" s="48"/>
      <c r="J60" s="48"/>
      <c r="K60" s="36"/>
      <c r="L60" s="36"/>
      <c r="M60" s="36"/>
      <c r="N60" s="36"/>
      <c r="O60" s="36"/>
      <c r="P60" s="36"/>
    </row>
    <row r="61" spans="1:16" s="44" customFormat="1" ht="16.5">
      <c r="A61" s="38"/>
      <c r="B61" s="39"/>
      <c r="C61" s="45" t="s">
        <v>168</v>
      </c>
      <c r="D61" s="41" t="s">
        <v>17</v>
      </c>
      <c r="E61" s="42">
        <f>ROUND(1.03*E59,2)</f>
        <v>88.99</v>
      </c>
      <c r="F61" s="42"/>
      <c r="G61" s="35"/>
      <c r="H61" s="43"/>
      <c r="I61" s="43"/>
      <c r="J61" s="43"/>
      <c r="K61" s="36"/>
      <c r="L61" s="36"/>
      <c r="M61" s="36"/>
      <c r="N61" s="36"/>
      <c r="O61" s="36"/>
      <c r="P61" s="36"/>
    </row>
    <row r="62" spans="1:16" s="44" customFormat="1" ht="16.5">
      <c r="A62" s="38"/>
      <c r="B62" s="39"/>
      <c r="C62" s="45" t="s">
        <v>24</v>
      </c>
      <c r="D62" s="41" t="s">
        <v>19</v>
      </c>
      <c r="E62" s="42">
        <f>ROUND(15*E59,2)</f>
        <v>1296</v>
      </c>
      <c r="F62" s="42"/>
      <c r="G62" s="35"/>
      <c r="H62" s="43"/>
      <c r="I62" s="43"/>
      <c r="J62" s="43"/>
      <c r="K62" s="36"/>
      <c r="L62" s="36"/>
      <c r="M62" s="36"/>
      <c r="N62" s="36"/>
      <c r="O62" s="36"/>
      <c r="P62" s="36"/>
    </row>
    <row r="63" spans="1:16" s="44" customFormat="1" ht="16.5">
      <c r="A63" s="38"/>
      <c r="B63" s="39"/>
      <c r="C63" s="45" t="s">
        <v>25</v>
      </c>
      <c r="D63" s="41" t="s">
        <v>23</v>
      </c>
      <c r="E63" s="42">
        <f>ROUND(4*E59,2)</f>
        <v>345.6</v>
      </c>
      <c r="F63" s="42"/>
      <c r="G63" s="35"/>
      <c r="H63" s="43"/>
      <c r="I63" s="43"/>
      <c r="J63" s="43"/>
      <c r="K63" s="36"/>
      <c r="L63" s="36"/>
      <c r="M63" s="36"/>
      <c r="N63" s="36"/>
      <c r="O63" s="36"/>
      <c r="P63" s="36"/>
    </row>
    <row r="64" spans="1:16" s="44" customFormat="1" ht="16.5">
      <c r="A64" s="38"/>
      <c r="B64" s="39"/>
      <c r="C64" s="45" t="s">
        <v>26</v>
      </c>
      <c r="D64" s="41" t="s">
        <v>17</v>
      </c>
      <c r="E64" s="42">
        <f>ROUND(1.15*E59,2)</f>
        <v>99.36</v>
      </c>
      <c r="F64" s="42"/>
      <c r="G64" s="35"/>
      <c r="H64" s="43"/>
      <c r="I64" s="43"/>
      <c r="J64" s="43"/>
      <c r="K64" s="36"/>
      <c r="L64" s="36"/>
      <c r="M64" s="36"/>
      <c r="N64" s="36"/>
      <c r="O64" s="36"/>
      <c r="P64" s="36"/>
    </row>
    <row r="65" spans="1:16" s="44" customFormat="1" ht="16.5">
      <c r="A65" s="38"/>
      <c r="B65" s="39"/>
      <c r="C65" s="45" t="s">
        <v>27</v>
      </c>
      <c r="D65" s="41" t="s">
        <v>19</v>
      </c>
      <c r="E65" s="42">
        <f>ROUND(E59*6,2)</f>
        <v>518.4</v>
      </c>
      <c r="F65" s="42"/>
      <c r="G65" s="35"/>
      <c r="H65" s="43"/>
      <c r="I65" s="43"/>
      <c r="J65" s="43"/>
      <c r="K65" s="36"/>
      <c r="L65" s="36"/>
      <c r="M65" s="36"/>
      <c r="N65" s="36"/>
      <c r="O65" s="36"/>
      <c r="P65" s="36"/>
    </row>
    <row r="66" spans="1:16" s="44" customFormat="1" ht="33">
      <c r="A66" s="38">
        <v>16</v>
      </c>
      <c r="B66" s="39"/>
      <c r="C66" s="40" t="s">
        <v>166</v>
      </c>
      <c r="D66" s="41" t="s">
        <v>17</v>
      </c>
      <c r="E66" s="42">
        <f>216*0.4</f>
        <v>86.4</v>
      </c>
      <c r="F66" s="42"/>
      <c r="G66" s="35"/>
      <c r="H66" s="43"/>
      <c r="I66" s="43"/>
      <c r="J66" s="43"/>
      <c r="K66" s="36"/>
      <c r="L66" s="36"/>
      <c r="M66" s="36"/>
      <c r="N66" s="36"/>
      <c r="O66" s="36"/>
      <c r="P66" s="36"/>
    </row>
    <row r="67" spans="1:16" s="230" customFormat="1" ht="17.25" customHeight="1">
      <c r="A67" s="228"/>
      <c r="B67" s="229"/>
      <c r="C67" s="231" t="s">
        <v>91</v>
      </c>
      <c r="D67" s="232" t="s">
        <v>17</v>
      </c>
      <c r="E67" s="233">
        <f>E66</f>
        <v>86.4</v>
      </c>
      <c r="F67" s="48"/>
      <c r="G67" s="48"/>
      <c r="H67" s="234"/>
      <c r="I67" s="48"/>
      <c r="J67" s="48"/>
      <c r="K67" s="36"/>
      <c r="L67" s="36"/>
      <c r="M67" s="36"/>
      <c r="N67" s="36"/>
      <c r="O67" s="36"/>
      <c r="P67" s="36"/>
    </row>
    <row r="68" spans="1:16" s="230" customFormat="1" ht="20.25" customHeight="1">
      <c r="A68" s="228"/>
      <c r="B68" s="229"/>
      <c r="C68" s="231" t="s">
        <v>141</v>
      </c>
      <c r="D68" s="232" t="s">
        <v>19</v>
      </c>
      <c r="E68" s="233">
        <f>E66*4</f>
        <v>345.6</v>
      </c>
      <c r="F68" s="48"/>
      <c r="G68" s="48"/>
      <c r="H68" s="234"/>
      <c r="I68" s="48"/>
      <c r="J68" s="48"/>
      <c r="K68" s="36"/>
      <c r="L68" s="36"/>
      <c r="M68" s="36"/>
      <c r="N68" s="36"/>
      <c r="O68" s="36"/>
      <c r="P68" s="36"/>
    </row>
    <row r="69" spans="1:16" s="230" customFormat="1" ht="18" customHeight="1">
      <c r="A69" s="228"/>
      <c r="B69" s="269"/>
      <c r="C69" s="231" t="s">
        <v>125</v>
      </c>
      <c r="D69" s="232" t="s">
        <v>17</v>
      </c>
      <c r="E69" s="233">
        <f>E66*1.05</f>
        <v>90.72000000000001</v>
      </c>
      <c r="F69" s="48"/>
      <c r="G69" s="48"/>
      <c r="H69" s="234"/>
      <c r="I69" s="48"/>
      <c r="J69" s="48"/>
      <c r="K69" s="36"/>
      <c r="L69" s="36"/>
      <c r="M69" s="36"/>
      <c r="N69" s="36"/>
      <c r="O69" s="36"/>
      <c r="P69" s="36"/>
    </row>
    <row r="70" spans="1:16" s="230" customFormat="1" ht="17.25" customHeight="1">
      <c r="A70" s="228"/>
      <c r="B70" s="229"/>
      <c r="C70" s="231" t="s">
        <v>91</v>
      </c>
      <c r="D70" s="232" t="s">
        <v>17</v>
      </c>
      <c r="E70" s="233">
        <f>E66</f>
        <v>86.4</v>
      </c>
      <c r="F70" s="48"/>
      <c r="G70" s="48"/>
      <c r="H70" s="234"/>
      <c r="I70" s="48"/>
      <c r="J70" s="48"/>
      <c r="K70" s="36"/>
      <c r="L70" s="36"/>
      <c r="M70" s="36"/>
      <c r="N70" s="36"/>
      <c r="O70" s="36"/>
      <c r="P70" s="36"/>
    </row>
    <row r="71" spans="1:16" s="230" customFormat="1" ht="18.75" customHeight="1">
      <c r="A71" s="228"/>
      <c r="B71" s="267"/>
      <c r="C71" s="231" t="s">
        <v>164</v>
      </c>
      <c r="D71" s="232" t="s">
        <v>19</v>
      </c>
      <c r="E71" s="233">
        <f>E66*4</f>
        <v>345.6</v>
      </c>
      <c r="F71" s="48"/>
      <c r="G71" s="48"/>
      <c r="H71" s="234"/>
      <c r="I71" s="48"/>
      <c r="J71" s="48"/>
      <c r="K71" s="36"/>
      <c r="L71" s="36"/>
      <c r="M71" s="36"/>
      <c r="N71" s="36"/>
      <c r="O71" s="36"/>
      <c r="P71" s="36"/>
    </row>
    <row r="72" spans="1:16" s="44" customFormat="1" ht="16.5">
      <c r="A72" s="38">
        <f>A66+1</f>
        <v>17</v>
      </c>
      <c r="B72" s="39"/>
      <c r="C72" s="40" t="s">
        <v>167</v>
      </c>
      <c r="D72" s="41" t="s">
        <v>17</v>
      </c>
      <c r="E72" s="42">
        <f>E66</f>
        <v>86.4</v>
      </c>
      <c r="F72" s="42"/>
      <c r="G72" s="35"/>
      <c r="H72" s="43"/>
      <c r="I72" s="43"/>
      <c r="J72" s="43"/>
      <c r="K72" s="36"/>
      <c r="L72" s="36"/>
      <c r="M72" s="36"/>
      <c r="N72" s="36"/>
      <c r="O72" s="36"/>
      <c r="P72" s="36"/>
    </row>
    <row r="73" spans="1:16" s="44" customFormat="1" ht="16.5">
      <c r="A73" s="38"/>
      <c r="B73" s="39"/>
      <c r="C73" s="45" t="s">
        <v>40</v>
      </c>
      <c r="D73" s="41" t="s">
        <v>28</v>
      </c>
      <c r="E73" s="42">
        <f>ROUND(0.35*E72,2)</f>
        <v>30.24</v>
      </c>
      <c r="F73" s="42"/>
      <c r="G73" s="35"/>
      <c r="H73" s="43"/>
      <c r="I73" s="43"/>
      <c r="J73" s="43"/>
      <c r="K73" s="36"/>
      <c r="L73" s="36"/>
      <c r="M73" s="36"/>
      <c r="N73" s="36"/>
      <c r="O73" s="36"/>
      <c r="P73" s="36"/>
    </row>
    <row r="74" spans="1:16" s="215" customFormat="1" ht="16.5">
      <c r="A74" s="38"/>
      <c r="B74" s="91"/>
      <c r="C74" s="271" t="s">
        <v>201</v>
      </c>
      <c r="D74" s="87"/>
      <c r="E74" s="35"/>
      <c r="F74" s="214"/>
      <c r="G74" s="35"/>
      <c r="H74" s="43"/>
      <c r="I74" s="35"/>
      <c r="J74" s="35"/>
      <c r="K74" s="36"/>
      <c r="L74" s="36"/>
      <c r="M74" s="36"/>
      <c r="N74" s="36"/>
      <c r="O74" s="36"/>
      <c r="P74" s="36"/>
    </row>
    <row r="75" spans="1:16" s="215" customFormat="1" ht="53.25" customHeight="1">
      <c r="A75" s="38">
        <v>18</v>
      </c>
      <c r="B75" s="91"/>
      <c r="C75" s="213" t="s">
        <v>203</v>
      </c>
      <c r="D75" s="87" t="s">
        <v>17</v>
      </c>
      <c r="E75" s="35">
        <v>1</v>
      </c>
      <c r="F75" s="214"/>
      <c r="G75" s="35"/>
      <c r="H75" s="43"/>
      <c r="I75" s="35"/>
      <c r="J75" s="35"/>
      <c r="K75" s="36"/>
      <c r="L75" s="36"/>
      <c r="M75" s="36"/>
      <c r="N75" s="36"/>
      <c r="O75" s="36"/>
      <c r="P75" s="36"/>
    </row>
    <row r="76" spans="1:16" s="215" customFormat="1" ht="16.5">
      <c r="A76" s="38"/>
      <c r="B76" s="91"/>
      <c r="C76" s="271" t="s">
        <v>202</v>
      </c>
      <c r="D76" s="87"/>
      <c r="E76" s="35"/>
      <c r="F76" s="214"/>
      <c r="G76" s="35"/>
      <c r="H76" s="43"/>
      <c r="I76" s="35"/>
      <c r="J76" s="35"/>
      <c r="K76" s="36"/>
      <c r="L76" s="36"/>
      <c r="M76" s="36"/>
      <c r="N76" s="36"/>
      <c r="O76" s="36"/>
      <c r="P76" s="36"/>
    </row>
    <row r="77" spans="1:16" s="215" customFormat="1" ht="49.5">
      <c r="A77" s="38">
        <v>19</v>
      </c>
      <c r="B77" s="91"/>
      <c r="C77" s="213" t="s">
        <v>204</v>
      </c>
      <c r="D77" s="87" t="s">
        <v>17</v>
      </c>
      <c r="E77" s="35">
        <v>1.5</v>
      </c>
      <c r="F77" s="214"/>
      <c r="G77" s="35"/>
      <c r="H77" s="43"/>
      <c r="I77" s="35"/>
      <c r="J77" s="35"/>
      <c r="K77" s="36"/>
      <c r="L77" s="36"/>
      <c r="M77" s="36"/>
      <c r="N77" s="36"/>
      <c r="O77" s="36"/>
      <c r="P77" s="36"/>
    </row>
    <row r="78" spans="1:16" s="215" customFormat="1" ht="16.5">
      <c r="A78" s="38"/>
      <c r="B78" s="91"/>
      <c r="C78" s="271" t="s">
        <v>205</v>
      </c>
      <c r="D78" s="87"/>
      <c r="E78" s="35"/>
      <c r="F78" s="214"/>
      <c r="G78" s="35"/>
      <c r="H78" s="43"/>
      <c r="I78" s="35"/>
      <c r="J78" s="35"/>
      <c r="K78" s="36"/>
      <c r="L78" s="36"/>
      <c r="M78" s="36"/>
      <c r="N78" s="36"/>
      <c r="O78" s="36"/>
      <c r="P78" s="36"/>
    </row>
    <row r="79" spans="1:16" s="215" customFormat="1" ht="33">
      <c r="A79" s="38">
        <v>20</v>
      </c>
      <c r="B79" s="91"/>
      <c r="C79" s="213" t="s">
        <v>206</v>
      </c>
      <c r="D79" s="87" t="s">
        <v>17</v>
      </c>
      <c r="E79" s="35">
        <v>2</v>
      </c>
      <c r="F79" s="214"/>
      <c r="G79" s="35"/>
      <c r="H79" s="43"/>
      <c r="I79" s="35"/>
      <c r="J79" s="35"/>
      <c r="K79" s="36"/>
      <c r="L79" s="36"/>
      <c r="M79" s="36"/>
      <c r="N79" s="36"/>
      <c r="O79" s="36"/>
      <c r="P79" s="36"/>
    </row>
    <row r="80" spans="1:16" s="215" customFormat="1" ht="16.5">
      <c r="A80" s="38"/>
      <c r="B80" s="91"/>
      <c r="C80" s="271" t="s">
        <v>207</v>
      </c>
      <c r="D80" s="87"/>
      <c r="E80" s="35"/>
      <c r="F80" s="214"/>
      <c r="G80" s="35"/>
      <c r="H80" s="43"/>
      <c r="I80" s="35"/>
      <c r="J80" s="35"/>
      <c r="K80" s="36"/>
      <c r="L80" s="36"/>
      <c r="M80" s="36"/>
      <c r="N80" s="36"/>
      <c r="O80" s="36"/>
      <c r="P80" s="36"/>
    </row>
    <row r="81" spans="1:16" s="215" customFormat="1" ht="33">
      <c r="A81" s="38">
        <v>21</v>
      </c>
      <c r="B81" s="91"/>
      <c r="C81" s="213" t="s">
        <v>206</v>
      </c>
      <c r="D81" s="87" t="s">
        <v>17</v>
      </c>
      <c r="E81" s="35">
        <v>2</v>
      </c>
      <c r="F81" s="214"/>
      <c r="G81" s="35"/>
      <c r="H81" s="43"/>
      <c r="I81" s="35"/>
      <c r="J81" s="35"/>
      <c r="K81" s="36"/>
      <c r="L81" s="36"/>
      <c r="M81" s="36"/>
      <c r="N81" s="36"/>
      <c r="O81" s="36"/>
      <c r="P81" s="36"/>
    </row>
    <row r="82" spans="1:16" s="215" customFormat="1" ht="16.5">
      <c r="A82" s="38"/>
      <c r="B82" s="91"/>
      <c r="C82" s="271" t="s">
        <v>208</v>
      </c>
      <c r="D82" s="87"/>
      <c r="E82" s="35"/>
      <c r="F82" s="214"/>
      <c r="G82" s="35"/>
      <c r="H82" s="43"/>
      <c r="I82" s="35"/>
      <c r="J82" s="35"/>
      <c r="K82" s="36"/>
      <c r="L82" s="36"/>
      <c r="M82" s="36"/>
      <c r="N82" s="36"/>
      <c r="O82" s="36"/>
      <c r="P82" s="36"/>
    </row>
    <row r="83" spans="1:16" s="215" customFormat="1" ht="49.5">
      <c r="A83" s="38">
        <v>22</v>
      </c>
      <c r="B83" s="91"/>
      <c r="C83" s="213" t="s">
        <v>204</v>
      </c>
      <c r="D83" s="87" t="s">
        <v>17</v>
      </c>
      <c r="E83" s="35">
        <v>1.5</v>
      </c>
      <c r="F83" s="214"/>
      <c r="G83" s="35"/>
      <c r="H83" s="43"/>
      <c r="I83" s="35"/>
      <c r="J83" s="35"/>
      <c r="K83" s="36"/>
      <c r="L83" s="36"/>
      <c r="M83" s="36"/>
      <c r="N83" s="36"/>
      <c r="O83" s="36"/>
      <c r="P83" s="36"/>
    </row>
    <row r="84" spans="1:16" s="37" customFormat="1" ht="16.5">
      <c r="A84" s="38"/>
      <c r="B84" s="33"/>
      <c r="C84" s="33" t="s">
        <v>127</v>
      </c>
      <c r="D84" s="33"/>
      <c r="E84" s="227"/>
      <c r="F84" s="33"/>
      <c r="G84" s="35"/>
      <c r="H84" s="43"/>
      <c r="I84" s="33"/>
      <c r="J84" s="33"/>
      <c r="K84" s="36"/>
      <c r="L84" s="36"/>
      <c r="M84" s="36"/>
      <c r="N84" s="36"/>
      <c r="O84" s="36"/>
      <c r="P84" s="36"/>
    </row>
    <row r="85" spans="1:16" s="215" customFormat="1" ht="16.5">
      <c r="A85" s="38">
        <v>23</v>
      </c>
      <c r="B85" s="91"/>
      <c r="C85" s="213" t="s">
        <v>128</v>
      </c>
      <c r="D85" s="87" t="s">
        <v>31</v>
      </c>
      <c r="E85" s="35">
        <v>1</v>
      </c>
      <c r="F85" s="214"/>
      <c r="G85" s="35"/>
      <c r="H85" s="43"/>
      <c r="I85" s="35"/>
      <c r="J85" s="35"/>
      <c r="K85" s="36"/>
      <c r="L85" s="36"/>
      <c r="M85" s="36"/>
      <c r="N85" s="36"/>
      <c r="O85" s="36"/>
      <c r="P85" s="36"/>
    </row>
    <row r="86" spans="1:16" s="57" customFormat="1" ht="33">
      <c r="A86" s="38">
        <v>24</v>
      </c>
      <c r="B86" s="54"/>
      <c r="C86" s="273" t="s">
        <v>34</v>
      </c>
      <c r="D86" s="54" t="s">
        <v>33</v>
      </c>
      <c r="E86" s="268">
        <v>50</v>
      </c>
      <c r="F86" s="35"/>
      <c r="G86" s="35"/>
      <c r="H86" s="43"/>
      <c r="I86" s="55"/>
      <c r="J86" s="56"/>
      <c r="K86" s="36"/>
      <c r="L86" s="36"/>
      <c r="M86" s="36"/>
      <c r="N86" s="36"/>
      <c r="O86" s="36"/>
      <c r="P86" s="36"/>
    </row>
    <row r="87" spans="1:16" s="65" customFormat="1" ht="17.25" thickBot="1">
      <c r="A87" s="38"/>
      <c r="B87" s="58"/>
      <c r="C87" s="59"/>
      <c r="D87" s="59"/>
      <c r="E87" s="59"/>
      <c r="F87" s="60"/>
      <c r="G87" s="61"/>
      <c r="H87" s="61"/>
      <c r="I87" s="62"/>
      <c r="J87" s="62"/>
      <c r="K87" s="63"/>
      <c r="L87" s="63"/>
      <c r="M87" s="64"/>
      <c r="N87" s="64"/>
      <c r="O87" s="64"/>
      <c r="P87" s="64"/>
    </row>
    <row r="88" spans="1:16" s="73" customFormat="1" ht="16.5">
      <c r="A88" s="66"/>
      <c r="B88" s="67"/>
      <c r="C88" s="68" t="s">
        <v>35</v>
      </c>
      <c r="D88" s="67" t="s">
        <v>326</v>
      </c>
      <c r="E88" s="67"/>
      <c r="F88" s="67"/>
      <c r="G88" s="69"/>
      <c r="H88" s="70"/>
      <c r="I88" s="69"/>
      <c r="J88" s="69"/>
      <c r="K88" s="69"/>
      <c r="L88" s="71">
        <f>SUM(L18:L87)</f>
        <v>0</v>
      </c>
      <c r="M88" s="71">
        <f>SUM(M18:M87)</f>
        <v>0</v>
      </c>
      <c r="N88" s="71">
        <f>SUM(N18:N87)</f>
        <v>0</v>
      </c>
      <c r="O88" s="71">
        <f>SUM(O18:O87)</f>
        <v>0</v>
      </c>
      <c r="P88" s="72">
        <f>SUM(M88:O88)</f>
        <v>0</v>
      </c>
    </row>
    <row r="89" spans="1:16" s="28" customFormat="1" ht="16.5">
      <c r="A89" s="343" t="s">
        <v>327</v>
      </c>
      <c r="B89" s="343"/>
      <c r="C89" s="343"/>
      <c r="D89" s="343"/>
      <c r="E89" s="343"/>
      <c r="F89" s="343"/>
      <c r="G89" s="343"/>
      <c r="H89" s="343"/>
      <c r="I89" s="343"/>
      <c r="J89" s="343"/>
      <c r="K89" s="343"/>
      <c r="L89" s="74"/>
      <c r="M89" s="74"/>
      <c r="N89" s="74">
        <f>ROUND(N88*0.05,2)</f>
        <v>0</v>
      </c>
      <c r="O89" s="74"/>
      <c r="P89" s="75">
        <f>SUM(M89:O89)</f>
        <v>0</v>
      </c>
    </row>
    <row r="90" spans="1:16" s="78" customFormat="1" ht="17.25" thickBot="1">
      <c r="A90" s="349" t="s">
        <v>36</v>
      </c>
      <c r="B90" s="349"/>
      <c r="C90" s="349"/>
      <c r="D90" s="349"/>
      <c r="E90" s="349"/>
      <c r="F90" s="349"/>
      <c r="G90" s="349"/>
      <c r="H90" s="349"/>
      <c r="I90" s="349"/>
      <c r="J90" s="349"/>
      <c r="K90" s="349"/>
      <c r="L90" s="76">
        <f>SUM(L88:L89)</f>
        <v>0</v>
      </c>
      <c r="M90" s="76">
        <f>SUM(M88:M89)</f>
        <v>0</v>
      </c>
      <c r="N90" s="76">
        <f>SUM(N88:N89)</f>
        <v>0</v>
      </c>
      <c r="O90" s="76">
        <f>SUM(O88:O89)</f>
        <v>0</v>
      </c>
      <c r="P90" s="77">
        <f>SUM(M90:O90)</f>
        <v>0</v>
      </c>
    </row>
    <row r="91" spans="1:15" s="82" customFormat="1" ht="16.5">
      <c r="A91" s="79"/>
      <c r="B91" s="79"/>
      <c r="C91" s="80"/>
      <c r="D91" s="81"/>
      <c r="E91" s="81"/>
      <c r="F91" s="81"/>
      <c r="G91" s="81"/>
      <c r="H91" s="81"/>
      <c r="I91" s="81"/>
      <c r="J91" s="81"/>
      <c r="K91" s="81"/>
      <c r="L91" s="80"/>
      <c r="M91" s="80"/>
      <c r="N91" s="80"/>
      <c r="O91" s="80"/>
    </row>
    <row r="92" spans="1:15" s="82" customFormat="1" ht="16.5">
      <c r="A92" s="79"/>
      <c r="B92" s="79"/>
      <c r="C92" s="80"/>
      <c r="D92" s="81"/>
      <c r="E92" s="81"/>
      <c r="F92" s="81"/>
      <c r="G92" s="81"/>
      <c r="H92" s="81"/>
      <c r="I92" s="81"/>
      <c r="J92" s="81"/>
      <c r="K92" s="81"/>
      <c r="L92" s="80"/>
      <c r="M92" s="80"/>
      <c r="N92" s="80"/>
      <c r="O92" s="80"/>
    </row>
    <row r="93" spans="1:15" s="82" customFormat="1" ht="16.5">
      <c r="A93" s="350" t="s">
        <v>310</v>
      </c>
      <c r="B93" s="350"/>
      <c r="C93" s="350"/>
      <c r="D93" s="350"/>
      <c r="E93" s="350"/>
      <c r="F93" s="350"/>
      <c r="G93" s="350"/>
      <c r="H93" s="80"/>
      <c r="I93" s="351" t="s">
        <v>37</v>
      </c>
      <c r="J93" s="351"/>
      <c r="K93" s="351"/>
      <c r="L93" s="351"/>
      <c r="M93" s="351"/>
      <c r="N93" s="351"/>
      <c r="O93" s="351"/>
    </row>
    <row r="94" spans="1:15" s="82" customFormat="1" ht="16.5">
      <c r="A94" s="352" t="s">
        <v>311</v>
      </c>
      <c r="B94" s="352"/>
      <c r="C94" s="352"/>
      <c r="D94" s="83"/>
      <c r="E94" s="83"/>
      <c r="F94" s="83"/>
      <c r="G94" s="83"/>
      <c r="H94" s="80"/>
      <c r="I94" s="353" t="s">
        <v>38</v>
      </c>
      <c r="J94" s="353"/>
      <c r="K94" s="353"/>
      <c r="L94" s="353"/>
      <c r="M94" s="353"/>
      <c r="N94" s="353"/>
      <c r="O94" s="353"/>
    </row>
  </sheetData>
  <sheetProtection/>
  <mergeCells count="30">
    <mergeCell ref="A94:C94"/>
    <mergeCell ref="I94:O94"/>
    <mergeCell ref="A9:B9"/>
    <mergeCell ref="C9:P9"/>
    <mergeCell ref="E15:E16"/>
    <mergeCell ref="F15:K15"/>
    <mergeCell ref="L15:P15"/>
    <mergeCell ref="A90:K90"/>
    <mergeCell ref="A93:G93"/>
    <mergeCell ref="I93:O93"/>
    <mergeCell ref="D6:P6"/>
    <mergeCell ref="A89:K89"/>
    <mergeCell ref="A15:A16"/>
    <mergeCell ref="A12:P12"/>
    <mergeCell ref="A13:D13"/>
    <mergeCell ref="D7:P7"/>
    <mergeCell ref="B15:B16"/>
    <mergeCell ref="C15:C16"/>
    <mergeCell ref="D15:D16"/>
    <mergeCell ref="A10:C10"/>
    <mergeCell ref="A7:C7"/>
    <mergeCell ref="O11:P11"/>
    <mergeCell ref="A1:P1"/>
    <mergeCell ref="A2:P2"/>
    <mergeCell ref="A3:P3"/>
    <mergeCell ref="A5:C5"/>
    <mergeCell ref="D5:P5"/>
    <mergeCell ref="A8:C8"/>
    <mergeCell ref="D8:P8"/>
    <mergeCell ref="A6:C6"/>
  </mergeCells>
  <printOptions/>
  <pageMargins left="0.25" right="0.25" top="0.75" bottom="0.75" header="0.3" footer="0.3"/>
  <pageSetup horizontalDpi="600" verticalDpi="600" orientation="landscape" scale="79" r:id="rId1"/>
</worksheet>
</file>

<file path=xl/worksheets/sheet4.xml><?xml version="1.0" encoding="utf-8"?>
<worksheet xmlns="http://schemas.openxmlformats.org/spreadsheetml/2006/main" xmlns:r="http://schemas.openxmlformats.org/officeDocument/2006/relationships">
  <sheetPr>
    <tabColor indexed="52"/>
  </sheetPr>
  <dimension ref="A1:P163"/>
  <sheetViews>
    <sheetView showZeros="0" zoomScalePageLayoutView="0" workbookViewId="0" topLeftCell="A1">
      <selection activeCell="J15" sqref="J15"/>
    </sheetView>
  </sheetViews>
  <sheetFormatPr defaultColWidth="7.140625" defaultRowHeight="15"/>
  <cols>
    <col min="1" max="1" width="5.8515625" style="84" customWidth="1"/>
    <col min="2" max="2" width="5.28125" style="84" customWidth="1"/>
    <col min="3" max="3" width="39.7109375" style="84" customWidth="1"/>
    <col min="4" max="4" width="8.57421875" style="84" customWidth="1"/>
    <col min="5" max="5" width="10.421875" style="85" bestFit="1" customWidth="1"/>
    <col min="6" max="6" width="8.00390625" style="84" customWidth="1"/>
    <col min="7" max="7" width="9.8515625" style="86" customWidth="1"/>
    <col min="8" max="10" width="9.140625" style="84" customWidth="1"/>
    <col min="11" max="11" width="9.8515625" style="84" customWidth="1"/>
    <col min="12" max="13" width="9.57421875" style="84" customWidth="1"/>
    <col min="14" max="14" width="11.28125" style="84" customWidth="1"/>
    <col min="15" max="15" width="8.8515625" style="84" customWidth="1"/>
    <col min="16" max="16" width="10.28125" style="84" customWidth="1"/>
    <col min="17" max="217" width="9.140625" style="84" customWidth="1"/>
    <col min="218" max="16384" width="7.140625" style="84" customWidth="1"/>
  </cols>
  <sheetData>
    <row r="1" spans="1:16" s="1" customFormat="1" ht="18">
      <c r="A1" s="337" t="s">
        <v>43</v>
      </c>
      <c r="B1" s="337"/>
      <c r="C1" s="337"/>
      <c r="D1" s="337"/>
      <c r="E1" s="337"/>
      <c r="F1" s="337"/>
      <c r="G1" s="337"/>
      <c r="H1" s="337"/>
      <c r="I1" s="337"/>
      <c r="J1" s="337"/>
      <c r="K1" s="337"/>
      <c r="L1" s="337"/>
      <c r="M1" s="337"/>
      <c r="N1" s="337"/>
      <c r="O1" s="337"/>
      <c r="P1" s="337"/>
    </row>
    <row r="2" spans="1:16" s="2" customFormat="1" ht="17.25" customHeight="1">
      <c r="A2" s="338" t="s">
        <v>140</v>
      </c>
      <c r="B2" s="338"/>
      <c r="C2" s="338"/>
      <c r="D2" s="338"/>
      <c r="E2" s="338"/>
      <c r="F2" s="338"/>
      <c r="G2" s="338"/>
      <c r="H2" s="338"/>
      <c r="I2" s="338"/>
      <c r="J2" s="338"/>
      <c r="K2" s="338"/>
      <c r="L2" s="338"/>
      <c r="M2" s="338"/>
      <c r="N2" s="338"/>
      <c r="O2" s="338"/>
      <c r="P2" s="338"/>
    </row>
    <row r="3" spans="1:16" s="3" customFormat="1" ht="10.5" customHeight="1">
      <c r="A3" s="339" t="s">
        <v>2</v>
      </c>
      <c r="B3" s="339"/>
      <c r="C3" s="339"/>
      <c r="D3" s="339"/>
      <c r="E3" s="339"/>
      <c r="F3" s="339"/>
      <c r="G3" s="339"/>
      <c r="H3" s="339"/>
      <c r="I3" s="339"/>
      <c r="J3" s="339"/>
      <c r="K3" s="339"/>
      <c r="L3" s="339"/>
      <c r="M3" s="339"/>
      <c r="N3" s="339"/>
      <c r="O3" s="339"/>
      <c r="P3" s="339"/>
    </row>
    <row r="4" spans="1:16" s="9" customFormat="1" ht="15.75">
      <c r="A4" s="4"/>
      <c r="B4" s="5"/>
      <c r="C4" s="6"/>
      <c r="D4" s="7"/>
      <c r="E4" s="5"/>
      <c r="F4" s="4"/>
      <c r="G4" s="4"/>
      <c r="H4" s="4"/>
      <c r="I4" s="4"/>
      <c r="J4" s="4"/>
      <c r="K4" s="4"/>
      <c r="L4" s="4"/>
      <c r="M4" s="8"/>
      <c r="N4" s="8"/>
      <c r="O4" s="8"/>
      <c r="P4" s="8"/>
    </row>
    <row r="5" spans="1:16" s="11" customFormat="1" ht="14.25" customHeight="1">
      <c r="A5" s="358" t="s">
        <v>3</v>
      </c>
      <c r="B5" s="358"/>
      <c r="C5" s="358"/>
      <c r="D5" s="359" t="s">
        <v>359</v>
      </c>
      <c r="E5" s="359"/>
      <c r="F5" s="359"/>
      <c r="G5" s="359"/>
      <c r="H5" s="359"/>
      <c r="I5" s="359"/>
      <c r="J5" s="359"/>
      <c r="K5" s="359"/>
      <c r="L5" s="359"/>
      <c r="M5" s="359"/>
      <c r="N5" s="359"/>
      <c r="O5" s="359"/>
      <c r="P5" s="359"/>
    </row>
    <row r="6" spans="1:16" s="11" customFormat="1" ht="14.25" customHeight="1">
      <c r="A6" s="358" t="s">
        <v>4</v>
      </c>
      <c r="B6" s="358"/>
      <c r="C6" s="358"/>
      <c r="D6" s="359" t="s">
        <v>360</v>
      </c>
      <c r="E6" s="359"/>
      <c r="F6" s="359"/>
      <c r="G6" s="359"/>
      <c r="H6" s="359"/>
      <c r="I6" s="359"/>
      <c r="J6" s="359"/>
      <c r="K6" s="359"/>
      <c r="L6" s="359"/>
      <c r="M6" s="359"/>
      <c r="N6" s="359"/>
      <c r="O6" s="359"/>
      <c r="P6" s="359"/>
    </row>
    <row r="7" spans="1:16" s="11" customFormat="1" ht="16.5">
      <c r="A7" s="360" t="s">
        <v>5</v>
      </c>
      <c r="B7" s="360"/>
      <c r="C7" s="360"/>
      <c r="D7" s="359" t="s">
        <v>197</v>
      </c>
      <c r="E7" s="359"/>
      <c r="F7" s="359"/>
      <c r="G7" s="359"/>
      <c r="H7" s="359"/>
      <c r="I7" s="359"/>
      <c r="J7" s="359"/>
      <c r="K7" s="359"/>
      <c r="L7" s="359"/>
      <c r="M7" s="359"/>
      <c r="N7" s="359"/>
      <c r="O7" s="359"/>
      <c r="P7" s="359"/>
    </row>
    <row r="8" spans="1:16" s="11" customFormat="1" ht="14.25" customHeight="1">
      <c r="A8" s="360" t="s">
        <v>6</v>
      </c>
      <c r="B8" s="360"/>
      <c r="C8" s="360"/>
      <c r="D8" s="342" t="s">
        <v>198</v>
      </c>
      <c r="E8" s="342"/>
      <c r="F8" s="342"/>
      <c r="G8" s="342"/>
      <c r="H8" s="342"/>
      <c r="I8" s="342"/>
      <c r="J8" s="342"/>
      <c r="K8" s="342"/>
      <c r="L8" s="342"/>
      <c r="M8" s="342"/>
      <c r="N8" s="342"/>
      <c r="O8" s="342"/>
      <c r="P8" s="342"/>
    </row>
    <row r="9" spans="1:16" s="16" customFormat="1" ht="51" customHeight="1">
      <c r="A9" s="362" t="s">
        <v>314</v>
      </c>
      <c r="B9" s="362"/>
      <c r="C9" s="362" t="s">
        <v>315</v>
      </c>
      <c r="D9" s="362"/>
      <c r="E9" s="362"/>
      <c r="F9" s="362"/>
      <c r="G9" s="362"/>
      <c r="H9" s="362"/>
      <c r="I9" s="362"/>
      <c r="J9" s="362"/>
      <c r="K9" s="362"/>
      <c r="L9" s="362"/>
      <c r="M9" s="362"/>
      <c r="N9" s="362"/>
      <c r="O9" s="362"/>
      <c r="P9" s="362"/>
    </row>
    <row r="10" spans="1:16" s="16" customFormat="1" ht="16.5">
      <c r="A10" s="17" t="s">
        <v>312</v>
      </c>
      <c r="B10" s="17"/>
      <c r="C10" s="17"/>
      <c r="D10" s="17"/>
      <c r="E10" s="17"/>
      <c r="F10" s="12"/>
      <c r="G10" s="12"/>
      <c r="H10" s="12"/>
      <c r="I10" s="12"/>
      <c r="J10" s="12"/>
      <c r="K10" s="12"/>
      <c r="L10" s="18"/>
      <c r="M10" s="18" t="s">
        <v>7</v>
      </c>
      <c r="N10" s="19"/>
      <c r="O10" s="336">
        <f>P102</f>
        <v>0</v>
      </c>
      <c r="P10" s="336"/>
    </row>
    <row r="11" spans="1:16" s="11" customFormat="1" ht="16.5">
      <c r="A11" s="345" t="s">
        <v>313</v>
      </c>
      <c r="B11" s="345"/>
      <c r="C11" s="345"/>
      <c r="D11" s="345"/>
      <c r="E11" s="345"/>
      <c r="F11" s="345"/>
      <c r="G11" s="345"/>
      <c r="H11" s="345"/>
      <c r="I11" s="345"/>
      <c r="J11" s="345"/>
      <c r="K11" s="345"/>
      <c r="L11" s="345"/>
      <c r="M11" s="345"/>
      <c r="N11" s="345"/>
      <c r="O11" s="345"/>
      <c r="P11" s="345"/>
    </row>
    <row r="12" spans="1:16" s="11" customFormat="1" ht="16.5" hidden="1">
      <c r="A12" s="346"/>
      <c r="B12" s="346"/>
      <c r="C12" s="346"/>
      <c r="D12" s="346"/>
      <c r="E12" s="20"/>
      <c r="F12" s="21"/>
      <c r="G12" s="21"/>
      <c r="H12" s="21"/>
      <c r="I12" s="21">
        <v>3</v>
      </c>
      <c r="J12" s="21"/>
      <c r="K12" s="21"/>
      <c r="L12" s="21"/>
      <c r="M12" s="22"/>
      <c r="N12" s="22"/>
      <c r="O12" s="22"/>
      <c r="P12" s="23"/>
    </row>
    <row r="13" spans="1:16" s="28" customFormat="1" ht="16.5">
      <c r="A13" s="24"/>
      <c r="B13" s="24"/>
      <c r="C13" s="25"/>
      <c r="D13" s="25"/>
      <c r="E13" s="26"/>
      <c r="F13" s="24"/>
      <c r="G13" s="24"/>
      <c r="H13" s="24"/>
      <c r="I13" s="24"/>
      <c r="J13" s="24"/>
      <c r="K13" s="24"/>
      <c r="L13" s="24"/>
      <c r="M13" s="27"/>
      <c r="N13" s="27"/>
      <c r="O13" s="27"/>
      <c r="P13" s="27"/>
    </row>
    <row r="14" spans="1:16" s="124" customFormat="1" ht="12.75" customHeight="1">
      <c r="A14" s="354" t="s">
        <v>8</v>
      </c>
      <c r="B14" s="354" t="s">
        <v>9</v>
      </c>
      <c r="C14" s="361" t="s">
        <v>10</v>
      </c>
      <c r="D14" s="354" t="s">
        <v>11</v>
      </c>
      <c r="E14" s="354" t="s">
        <v>12</v>
      </c>
      <c r="F14" s="354" t="s">
        <v>13</v>
      </c>
      <c r="G14" s="354"/>
      <c r="H14" s="354"/>
      <c r="I14" s="354"/>
      <c r="J14" s="354"/>
      <c r="K14" s="354"/>
      <c r="L14" s="354" t="s">
        <v>325</v>
      </c>
      <c r="M14" s="354"/>
      <c r="N14" s="354"/>
      <c r="O14" s="354"/>
      <c r="P14" s="354"/>
    </row>
    <row r="15" spans="1:16" s="124" customFormat="1" ht="51">
      <c r="A15" s="354"/>
      <c r="B15" s="354"/>
      <c r="C15" s="361"/>
      <c r="D15" s="354"/>
      <c r="E15" s="354"/>
      <c r="F15" s="122" t="s">
        <v>14</v>
      </c>
      <c r="G15" s="122" t="s">
        <v>15</v>
      </c>
      <c r="H15" s="122" t="s">
        <v>317</v>
      </c>
      <c r="I15" s="122" t="s">
        <v>318</v>
      </c>
      <c r="J15" s="122" t="s">
        <v>319</v>
      </c>
      <c r="K15" s="122" t="s">
        <v>320</v>
      </c>
      <c r="L15" s="122" t="s">
        <v>16</v>
      </c>
      <c r="M15" s="122" t="s">
        <v>321</v>
      </c>
      <c r="N15" s="122" t="s">
        <v>322</v>
      </c>
      <c r="O15" s="122" t="s">
        <v>323</v>
      </c>
      <c r="P15" s="122" t="s">
        <v>324</v>
      </c>
    </row>
    <row r="16" spans="1:16" s="124" customFormat="1" ht="12.75">
      <c r="A16" s="123">
        <v>1</v>
      </c>
      <c r="B16" s="123"/>
      <c r="C16" s="125">
        <v>2</v>
      </c>
      <c r="D16" s="123">
        <v>3</v>
      </c>
      <c r="E16" s="123">
        <v>4</v>
      </c>
      <c r="F16" s="123">
        <v>5</v>
      </c>
      <c r="G16" s="123">
        <v>6</v>
      </c>
      <c r="H16" s="123">
        <v>7</v>
      </c>
      <c r="I16" s="123">
        <v>8</v>
      </c>
      <c r="J16" s="123">
        <v>9</v>
      </c>
      <c r="K16" s="123">
        <v>10</v>
      </c>
      <c r="L16" s="123">
        <v>11</v>
      </c>
      <c r="M16" s="123">
        <v>12</v>
      </c>
      <c r="N16" s="123">
        <v>13</v>
      </c>
      <c r="O16" s="123">
        <v>14</v>
      </c>
      <c r="P16" s="123">
        <v>15</v>
      </c>
    </row>
    <row r="17" spans="1:16" s="127" customFormat="1" ht="16.5">
      <c r="A17" s="87"/>
      <c r="B17" s="239"/>
      <c r="C17" s="240" t="s">
        <v>190</v>
      </c>
      <c r="D17" s="240"/>
      <c r="E17" s="240"/>
      <c r="F17" s="240"/>
      <c r="G17" s="49"/>
      <c r="H17" s="241">
        <f>ROUND(F17*G17,2)</f>
        <v>0</v>
      </c>
      <c r="I17" s="126"/>
      <c r="J17" s="126"/>
      <c r="K17" s="36">
        <f>SUM(H17:J17)</f>
        <v>0</v>
      </c>
      <c r="L17" s="36">
        <f>ROUND(E17*F17,2)</f>
        <v>0</v>
      </c>
      <c r="M17" s="36">
        <f>ROUND(E17*H17,2)</f>
        <v>0</v>
      </c>
      <c r="N17" s="36">
        <f>ROUND(E17*I17,2)</f>
        <v>0</v>
      </c>
      <c r="O17" s="36">
        <f>ROUND(E17*J17,2)</f>
        <v>0</v>
      </c>
      <c r="P17" s="36">
        <f>SUM(M17:O17)</f>
        <v>0</v>
      </c>
    </row>
    <row r="18" spans="1:16" s="89" customFormat="1" ht="33">
      <c r="A18" s="51">
        <v>1</v>
      </c>
      <c r="B18" s="96"/>
      <c r="C18" s="47" t="s">
        <v>172</v>
      </c>
      <c r="D18" s="52" t="s">
        <v>17</v>
      </c>
      <c r="E18" s="208">
        <v>556.36</v>
      </c>
      <c r="F18" s="48"/>
      <c r="G18" s="49"/>
      <c r="H18" s="49"/>
      <c r="I18" s="49"/>
      <c r="J18" s="49"/>
      <c r="K18" s="50"/>
      <c r="L18" s="50"/>
      <c r="M18" s="50"/>
      <c r="N18" s="50"/>
      <c r="O18" s="50"/>
      <c r="P18" s="50"/>
    </row>
    <row r="19" spans="1:16" s="89" customFormat="1" ht="16.5">
      <c r="A19" s="51">
        <f>A18+1</f>
        <v>2</v>
      </c>
      <c r="B19" s="96"/>
      <c r="C19" s="47" t="s">
        <v>174</v>
      </c>
      <c r="D19" s="52" t="s">
        <v>21</v>
      </c>
      <c r="E19" s="48">
        <v>73.39</v>
      </c>
      <c r="F19" s="48"/>
      <c r="G19" s="49"/>
      <c r="H19" s="49"/>
      <c r="I19" s="49"/>
      <c r="J19" s="49"/>
      <c r="K19" s="50"/>
      <c r="L19" s="50"/>
      <c r="M19" s="50"/>
      <c r="N19" s="50"/>
      <c r="O19" s="50"/>
      <c r="P19" s="50"/>
    </row>
    <row r="20" spans="1:16" s="89" customFormat="1" ht="16.5">
      <c r="A20" s="51">
        <v>3</v>
      </c>
      <c r="B20" s="96"/>
      <c r="C20" s="47" t="s">
        <v>209</v>
      </c>
      <c r="D20" s="52" t="s">
        <v>21</v>
      </c>
      <c r="E20" s="48">
        <v>48.93</v>
      </c>
      <c r="F20" s="48"/>
      <c r="G20" s="49"/>
      <c r="H20" s="49"/>
      <c r="I20" s="49"/>
      <c r="J20" s="49"/>
      <c r="K20" s="50"/>
      <c r="L20" s="50"/>
      <c r="M20" s="50"/>
      <c r="N20" s="50"/>
      <c r="O20" s="50"/>
      <c r="P20" s="50"/>
    </row>
    <row r="21" spans="1:16" s="89" customFormat="1" ht="33">
      <c r="A21" s="51">
        <v>7</v>
      </c>
      <c r="B21" s="96"/>
      <c r="C21" s="47" t="s">
        <v>132</v>
      </c>
      <c r="D21" s="52" t="s">
        <v>17</v>
      </c>
      <c r="E21" s="208">
        <f>E18</f>
        <v>556.36</v>
      </c>
      <c r="F21" s="48"/>
      <c r="G21" s="49"/>
      <c r="H21" s="49"/>
      <c r="I21" s="49"/>
      <c r="J21" s="49"/>
      <c r="K21" s="50"/>
      <c r="L21" s="50"/>
      <c r="M21" s="50"/>
      <c r="N21" s="50"/>
      <c r="O21" s="50"/>
      <c r="P21" s="50"/>
    </row>
    <row r="22" spans="1:16" s="89" customFormat="1" ht="16.5">
      <c r="A22" s="51"/>
      <c r="B22" s="96"/>
      <c r="C22" s="209" t="s">
        <v>93</v>
      </c>
      <c r="D22" s="52" t="s">
        <v>19</v>
      </c>
      <c r="E22" s="208">
        <f>0.3*E21</f>
        <v>166.908</v>
      </c>
      <c r="F22" s="48"/>
      <c r="G22" s="49"/>
      <c r="H22" s="49"/>
      <c r="I22" s="49"/>
      <c r="J22" s="49"/>
      <c r="K22" s="50"/>
      <c r="L22" s="50"/>
      <c r="M22" s="50"/>
      <c r="N22" s="50"/>
      <c r="O22" s="50"/>
      <c r="P22" s="50"/>
    </row>
    <row r="23" spans="1:16" s="304" customFormat="1" ht="16.5">
      <c r="A23" s="51">
        <v>8</v>
      </c>
      <c r="B23" s="300"/>
      <c r="C23" s="47" t="s">
        <v>94</v>
      </c>
      <c r="D23" s="301" t="s">
        <v>17</v>
      </c>
      <c r="E23" s="302">
        <f>E18</f>
        <v>556.36</v>
      </c>
      <c r="F23" s="48"/>
      <c r="G23" s="49"/>
      <c r="H23" s="303"/>
      <c r="I23" s="49"/>
      <c r="J23" s="303"/>
      <c r="K23" s="50"/>
      <c r="L23" s="50"/>
      <c r="M23" s="50"/>
      <c r="N23" s="50"/>
      <c r="O23" s="50"/>
      <c r="P23" s="50"/>
    </row>
    <row r="24" spans="1:16" s="304" customFormat="1" ht="16.5">
      <c r="A24" s="51"/>
      <c r="B24" s="300"/>
      <c r="C24" s="209" t="s">
        <v>95</v>
      </c>
      <c r="D24" s="301" t="s">
        <v>17</v>
      </c>
      <c r="E24" s="302">
        <f>ROUND(1.15*E23,2)</f>
        <v>639.81</v>
      </c>
      <c r="F24" s="48"/>
      <c r="G24" s="49"/>
      <c r="H24" s="303"/>
      <c r="I24" s="49"/>
      <c r="J24" s="303"/>
      <c r="K24" s="50"/>
      <c r="L24" s="50"/>
      <c r="M24" s="50"/>
      <c r="N24" s="50"/>
      <c r="O24" s="50"/>
      <c r="P24" s="50"/>
    </row>
    <row r="25" spans="1:16" s="304" customFormat="1" ht="16.5">
      <c r="A25" s="51">
        <v>9</v>
      </c>
      <c r="B25" s="300"/>
      <c r="C25" s="47" t="s">
        <v>96</v>
      </c>
      <c r="D25" s="301" t="s">
        <v>17</v>
      </c>
      <c r="E25" s="302">
        <f>E18</f>
        <v>556.36</v>
      </c>
      <c r="F25" s="48"/>
      <c r="G25" s="49"/>
      <c r="H25" s="303"/>
      <c r="I25" s="49"/>
      <c r="J25" s="303"/>
      <c r="K25" s="50"/>
      <c r="L25" s="50"/>
      <c r="M25" s="50"/>
      <c r="N25" s="50"/>
      <c r="O25" s="50"/>
      <c r="P25" s="50"/>
    </row>
    <row r="26" spans="1:16" s="304" customFormat="1" ht="16.5">
      <c r="A26" s="51"/>
      <c r="B26" s="300"/>
      <c r="C26" s="209" t="s">
        <v>97</v>
      </c>
      <c r="D26" s="301" t="s">
        <v>33</v>
      </c>
      <c r="E26" s="302">
        <f>ROUND(0.005*E25,2)</f>
        <v>2.78</v>
      </c>
      <c r="F26" s="48"/>
      <c r="G26" s="49"/>
      <c r="H26" s="303"/>
      <c r="I26" s="49"/>
      <c r="J26" s="303"/>
      <c r="K26" s="50"/>
      <c r="L26" s="50"/>
      <c r="M26" s="50"/>
      <c r="N26" s="50"/>
      <c r="O26" s="50"/>
      <c r="P26" s="50"/>
    </row>
    <row r="27" spans="1:16" s="304" customFormat="1" ht="16.5">
      <c r="A27" s="51"/>
      <c r="B27" s="300"/>
      <c r="C27" s="209" t="s">
        <v>89</v>
      </c>
      <c r="D27" s="301" t="s">
        <v>19</v>
      </c>
      <c r="E27" s="302">
        <f>ROUND(0.25*E25,2)</f>
        <v>139.09</v>
      </c>
      <c r="F27" s="48"/>
      <c r="G27" s="49"/>
      <c r="H27" s="303"/>
      <c r="I27" s="49"/>
      <c r="J27" s="303"/>
      <c r="K27" s="50"/>
      <c r="L27" s="50"/>
      <c r="M27" s="50"/>
      <c r="N27" s="50"/>
      <c r="O27" s="50"/>
      <c r="P27" s="50"/>
    </row>
    <row r="28" spans="1:16" s="304" customFormat="1" ht="16.5">
      <c r="A28" s="51">
        <f>A25+1</f>
        <v>10</v>
      </c>
      <c r="B28" s="300"/>
      <c r="C28" s="47" t="s">
        <v>98</v>
      </c>
      <c r="D28" s="301" t="s">
        <v>17</v>
      </c>
      <c r="E28" s="302">
        <f>E18</f>
        <v>556.36</v>
      </c>
      <c r="F28" s="48"/>
      <c r="G28" s="49"/>
      <c r="H28" s="303"/>
      <c r="I28" s="49"/>
      <c r="J28" s="303"/>
      <c r="K28" s="50"/>
      <c r="L28" s="50"/>
      <c r="M28" s="50"/>
      <c r="N28" s="50"/>
      <c r="O28" s="50"/>
      <c r="P28" s="50"/>
    </row>
    <row r="29" spans="1:16" s="304" customFormat="1" ht="16.5">
      <c r="A29" s="51"/>
      <c r="B29" s="300"/>
      <c r="C29" s="209" t="s">
        <v>99</v>
      </c>
      <c r="D29" s="301" t="s">
        <v>33</v>
      </c>
      <c r="E29" s="302">
        <f>ROUND(0.0035*E28,2)</f>
        <v>1.95</v>
      </c>
      <c r="F29" s="48"/>
      <c r="G29" s="49"/>
      <c r="H29" s="303"/>
      <c r="I29" s="49"/>
      <c r="J29" s="303"/>
      <c r="K29" s="50"/>
      <c r="L29" s="50"/>
      <c r="M29" s="50"/>
      <c r="N29" s="50"/>
      <c r="O29" s="50"/>
      <c r="P29" s="50"/>
    </row>
    <row r="30" spans="1:16" s="304" customFormat="1" ht="16.5">
      <c r="A30" s="51"/>
      <c r="B30" s="300"/>
      <c r="C30" s="209" t="s">
        <v>89</v>
      </c>
      <c r="D30" s="301" t="s">
        <v>19</v>
      </c>
      <c r="E30" s="302">
        <f>ROUND(0.1*E28,2)</f>
        <v>55.64</v>
      </c>
      <c r="F30" s="48"/>
      <c r="G30" s="49"/>
      <c r="H30" s="303"/>
      <c r="I30" s="49"/>
      <c r="J30" s="303"/>
      <c r="K30" s="50"/>
      <c r="L30" s="50"/>
      <c r="M30" s="50"/>
      <c r="N30" s="50"/>
      <c r="O30" s="50"/>
      <c r="P30" s="50"/>
    </row>
    <row r="31" spans="1:16" s="304" customFormat="1" ht="18.75" customHeight="1">
      <c r="A31" s="51">
        <f>A28+1</f>
        <v>11</v>
      </c>
      <c r="B31" s="300"/>
      <c r="C31" s="47" t="s">
        <v>100</v>
      </c>
      <c r="D31" s="301" t="s">
        <v>17</v>
      </c>
      <c r="E31" s="302">
        <f>E18</f>
        <v>556.36</v>
      </c>
      <c r="F31" s="48"/>
      <c r="G31" s="49"/>
      <c r="H31" s="303"/>
      <c r="I31" s="49"/>
      <c r="J31" s="303"/>
      <c r="K31" s="50"/>
      <c r="L31" s="50"/>
      <c r="M31" s="50"/>
      <c r="N31" s="50"/>
      <c r="O31" s="50"/>
      <c r="P31" s="50"/>
    </row>
    <row r="32" spans="1:16" s="304" customFormat="1" ht="16.5">
      <c r="A32" s="51"/>
      <c r="B32" s="300"/>
      <c r="C32" s="209" t="s">
        <v>146</v>
      </c>
      <c r="D32" s="301" t="s">
        <v>17</v>
      </c>
      <c r="E32" s="302">
        <f>ROUND(1.08*E31,2)</f>
        <v>600.87</v>
      </c>
      <c r="F32" s="48"/>
      <c r="G32" s="49"/>
      <c r="H32" s="303"/>
      <c r="I32" s="49"/>
      <c r="J32" s="303"/>
      <c r="K32" s="50"/>
      <c r="L32" s="50"/>
      <c r="M32" s="50"/>
      <c r="N32" s="50"/>
      <c r="O32" s="50"/>
      <c r="P32" s="50"/>
    </row>
    <row r="33" spans="1:16" s="304" customFormat="1" ht="16.5">
      <c r="A33" s="51"/>
      <c r="B33" s="300"/>
      <c r="C33" s="209" t="s">
        <v>101</v>
      </c>
      <c r="D33" s="301" t="s">
        <v>23</v>
      </c>
      <c r="E33" s="302">
        <f>ROUND(8*E31,2)</f>
        <v>4450.88</v>
      </c>
      <c r="F33" s="48"/>
      <c r="G33" s="49"/>
      <c r="H33" s="303"/>
      <c r="I33" s="49"/>
      <c r="J33" s="303"/>
      <c r="K33" s="50"/>
      <c r="L33" s="50"/>
      <c r="M33" s="50"/>
      <c r="N33" s="50"/>
      <c r="O33" s="50"/>
      <c r="P33" s="50"/>
    </row>
    <row r="34" spans="1:16" s="304" customFormat="1" ht="16.5">
      <c r="A34" s="51"/>
      <c r="B34" s="300"/>
      <c r="C34" s="209" t="s">
        <v>102</v>
      </c>
      <c r="D34" s="301" t="s">
        <v>17</v>
      </c>
      <c r="E34" s="302">
        <f>ROUND(0.3*E31,2)</f>
        <v>166.91</v>
      </c>
      <c r="F34" s="48"/>
      <c r="G34" s="49"/>
      <c r="H34" s="303"/>
      <c r="I34" s="49"/>
      <c r="J34" s="303"/>
      <c r="K34" s="50"/>
      <c r="L34" s="50"/>
      <c r="M34" s="50"/>
      <c r="N34" s="50"/>
      <c r="O34" s="50"/>
      <c r="P34" s="50"/>
    </row>
    <row r="35" spans="1:16" s="90" customFormat="1" ht="16.5">
      <c r="A35" s="51">
        <f>A31+1</f>
        <v>12</v>
      </c>
      <c r="B35" s="96"/>
      <c r="C35" s="47" t="s">
        <v>105</v>
      </c>
      <c r="D35" s="52" t="s">
        <v>47</v>
      </c>
      <c r="E35" s="48">
        <v>42</v>
      </c>
      <c r="F35" s="48"/>
      <c r="G35" s="49"/>
      <c r="H35" s="49"/>
      <c r="I35" s="49"/>
      <c r="J35" s="48"/>
      <c r="K35" s="50"/>
      <c r="L35" s="50"/>
      <c r="M35" s="50"/>
      <c r="N35" s="50"/>
      <c r="O35" s="50"/>
      <c r="P35" s="50"/>
    </row>
    <row r="36" spans="1:16" s="90" customFormat="1" ht="33">
      <c r="A36" s="51">
        <f>A35+1</f>
        <v>13</v>
      </c>
      <c r="B36" s="96"/>
      <c r="C36" s="47" t="s">
        <v>103</v>
      </c>
      <c r="D36" s="52" t="s">
        <v>80</v>
      </c>
      <c r="E36" s="48">
        <v>68.4</v>
      </c>
      <c r="F36" s="48"/>
      <c r="G36" s="49"/>
      <c r="H36" s="49"/>
      <c r="I36" s="49"/>
      <c r="J36" s="48"/>
      <c r="K36" s="50"/>
      <c r="L36" s="50"/>
      <c r="M36" s="50"/>
      <c r="N36" s="50"/>
      <c r="O36" s="50"/>
      <c r="P36" s="50"/>
    </row>
    <row r="37" spans="1:16" s="90" customFormat="1" ht="16.5">
      <c r="A37" s="51">
        <f>A36+1</f>
        <v>14</v>
      </c>
      <c r="B37" s="96"/>
      <c r="C37" s="47" t="s">
        <v>133</v>
      </c>
      <c r="D37" s="52" t="s">
        <v>21</v>
      </c>
      <c r="E37" s="48">
        <v>42</v>
      </c>
      <c r="F37" s="48"/>
      <c r="G37" s="49"/>
      <c r="H37" s="49"/>
      <c r="I37" s="49"/>
      <c r="J37" s="48"/>
      <c r="K37" s="50"/>
      <c r="L37" s="50"/>
      <c r="M37" s="50"/>
      <c r="N37" s="50"/>
      <c r="O37" s="50"/>
      <c r="P37" s="50"/>
    </row>
    <row r="38" spans="1:16" s="90" customFormat="1" ht="16.5">
      <c r="A38" s="51">
        <f>A37+1</f>
        <v>15</v>
      </c>
      <c r="B38" s="96"/>
      <c r="C38" s="47" t="s">
        <v>173</v>
      </c>
      <c r="D38" s="52" t="s">
        <v>21</v>
      </c>
      <c r="E38" s="48">
        <v>42</v>
      </c>
      <c r="F38" s="216"/>
      <c r="G38" s="49"/>
      <c r="H38" s="49"/>
      <c r="I38" s="49"/>
      <c r="J38" s="49"/>
      <c r="K38" s="50"/>
      <c r="L38" s="50"/>
      <c r="M38" s="50"/>
      <c r="N38" s="50"/>
      <c r="O38" s="50"/>
      <c r="P38" s="50"/>
    </row>
    <row r="39" spans="1:16" s="90" customFormat="1" ht="33">
      <c r="A39" s="51">
        <v>16</v>
      </c>
      <c r="B39" s="96"/>
      <c r="C39" s="47" t="s">
        <v>212</v>
      </c>
      <c r="D39" s="52" t="s">
        <v>31</v>
      </c>
      <c r="E39" s="48">
        <v>1</v>
      </c>
      <c r="F39" s="216"/>
      <c r="G39" s="49"/>
      <c r="H39" s="49"/>
      <c r="I39" s="49"/>
      <c r="J39" s="49"/>
      <c r="K39" s="50"/>
      <c r="L39" s="50"/>
      <c r="M39" s="50"/>
      <c r="N39" s="50"/>
      <c r="O39" s="50"/>
      <c r="P39" s="50"/>
    </row>
    <row r="40" spans="1:16" s="127" customFormat="1" ht="16.5">
      <c r="A40" s="87"/>
      <c r="B40" s="239"/>
      <c r="C40" s="240" t="s">
        <v>191</v>
      </c>
      <c r="D40" s="240"/>
      <c r="E40" s="240"/>
      <c r="F40" s="240"/>
      <c r="G40" s="49"/>
      <c r="H40" s="241"/>
      <c r="I40" s="126"/>
      <c r="J40" s="126"/>
      <c r="K40" s="36"/>
      <c r="L40" s="36"/>
      <c r="M40" s="36"/>
      <c r="N40" s="36"/>
      <c r="O40" s="36"/>
      <c r="P40" s="36"/>
    </row>
    <row r="41" spans="1:16" s="89" customFormat="1" ht="49.5">
      <c r="A41" s="51">
        <v>17</v>
      </c>
      <c r="B41" s="96"/>
      <c r="C41" s="47" t="s">
        <v>285</v>
      </c>
      <c r="D41" s="52" t="s">
        <v>17</v>
      </c>
      <c r="E41" s="208">
        <v>192</v>
      </c>
      <c r="F41" s="48"/>
      <c r="G41" s="49"/>
      <c r="H41" s="49"/>
      <c r="I41" s="49"/>
      <c r="J41" s="49"/>
      <c r="K41" s="50"/>
      <c r="L41" s="50"/>
      <c r="M41" s="50"/>
      <c r="N41" s="50"/>
      <c r="O41" s="50"/>
      <c r="P41" s="50"/>
    </row>
    <row r="42" spans="1:16" s="294" customFormat="1" ht="21" customHeight="1">
      <c r="A42" s="295">
        <v>18</v>
      </c>
      <c r="B42" s="293"/>
      <c r="C42" s="274" t="s">
        <v>194</v>
      </c>
      <c r="D42" s="270" t="s">
        <v>33</v>
      </c>
      <c r="E42" s="35">
        <v>4.2</v>
      </c>
      <c r="F42" s="88"/>
      <c r="G42" s="35"/>
      <c r="H42" s="43"/>
      <c r="I42" s="88"/>
      <c r="J42" s="88"/>
      <c r="K42" s="121"/>
      <c r="L42" s="121"/>
      <c r="M42" s="121"/>
      <c r="N42" s="121"/>
      <c r="O42" s="121"/>
      <c r="P42" s="121"/>
    </row>
    <row r="43" spans="1:16" s="294" customFormat="1" ht="18" customHeight="1">
      <c r="A43" s="270"/>
      <c r="B43" s="293"/>
      <c r="C43" s="91" t="s">
        <v>192</v>
      </c>
      <c r="D43" s="270" t="s">
        <v>88</v>
      </c>
      <c r="E43" s="35">
        <f>310*E42</f>
        <v>1302</v>
      </c>
      <c r="F43" s="88"/>
      <c r="G43" s="35"/>
      <c r="H43" s="43"/>
      <c r="I43" s="88"/>
      <c r="J43" s="88"/>
      <c r="K43" s="121"/>
      <c r="L43" s="121"/>
      <c r="M43" s="121"/>
      <c r="N43" s="121"/>
      <c r="O43" s="121"/>
      <c r="P43" s="121"/>
    </row>
    <row r="44" spans="1:16" s="294" customFormat="1" ht="18" customHeight="1">
      <c r="A44" s="270"/>
      <c r="B44" s="293"/>
      <c r="C44" s="91" t="s">
        <v>193</v>
      </c>
      <c r="D44" s="270" t="s">
        <v>33</v>
      </c>
      <c r="E44" s="35">
        <f>0.25*E42</f>
        <v>1.05</v>
      </c>
      <c r="F44" s="88"/>
      <c r="G44" s="35"/>
      <c r="H44" s="43"/>
      <c r="I44" s="88"/>
      <c r="J44" s="88"/>
      <c r="K44" s="121"/>
      <c r="L44" s="121"/>
      <c r="M44" s="121"/>
      <c r="N44" s="121"/>
      <c r="O44" s="121"/>
      <c r="P44" s="121"/>
    </row>
    <row r="45" spans="1:16" s="90" customFormat="1" ht="33">
      <c r="A45" s="51">
        <v>19</v>
      </c>
      <c r="B45" s="96"/>
      <c r="C45" s="47" t="s">
        <v>44</v>
      </c>
      <c r="D45" s="52" t="s">
        <v>17</v>
      </c>
      <c r="E45" s="48">
        <f>E41</f>
        <v>192</v>
      </c>
      <c r="F45" s="48"/>
      <c r="G45" s="49"/>
      <c r="H45" s="49"/>
      <c r="I45" s="48"/>
      <c r="J45" s="48"/>
      <c r="K45" s="50"/>
      <c r="L45" s="50"/>
      <c r="M45" s="50"/>
      <c r="N45" s="50"/>
      <c r="O45" s="50"/>
      <c r="P45" s="50"/>
    </row>
    <row r="46" spans="1:16" s="89" customFormat="1" ht="16.5">
      <c r="A46" s="51"/>
      <c r="B46" s="96"/>
      <c r="C46" s="209" t="s">
        <v>175</v>
      </c>
      <c r="D46" s="52" t="s">
        <v>33</v>
      </c>
      <c r="E46" s="48">
        <f>0.1*E45</f>
        <v>19.200000000000003</v>
      </c>
      <c r="F46" s="48"/>
      <c r="G46" s="49"/>
      <c r="H46" s="49"/>
      <c r="I46" s="49"/>
      <c r="J46" s="49"/>
      <c r="K46" s="50"/>
      <c r="L46" s="50"/>
      <c r="M46" s="50"/>
      <c r="N46" s="50"/>
      <c r="O46" s="50"/>
      <c r="P46" s="50"/>
    </row>
    <row r="47" spans="1:16" s="90" customFormat="1" ht="16.5">
      <c r="A47" s="51">
        <v>20</v>
      </c>
      <c r="B47" s="96"/>
      <c r="C47" s="47" t="s">
        <v>176</v>
      </c>
      <c r="D47" s="52" t="s">
        <v>17</v>
      </c>
      <c r="E47" s="48">
        <f>E41</f>
        <v>192</v>
      </c>
      <c r="F47" s="48"/>
      <c r="G47" s="49"/>
      <c r="H47" s="49"/>
      <c r="I47" s="48"/>
      <c r="J47" s="48"/>
      <c r="K47" s="50"/>
      <c r="L47" s="50"/>
      <c r="M47" s="50"/>
      <c r="N47" s="50"/>
      <c r="O47" s="50"/>
      <c r="P47" s="50"/>
    </row>
    <row r="48" spans="1:16" s="89" customFormat="1" ht="16.5">
      <c r="A48" s="51"/>
      <c r="B48" s="96"/>
      <c r="C48" s="209" t="s">
        <v>157</v>
      </c>
      <c r="D48" s="52" t="s">
        <v>33</v>
      </c>
      <c r="E48" s="48">
        <f>0.02*1.05*E47</f>
        <v>4.032</v>
      </c>
      <c r="F48" s="48"/>
      <c r="G48" s="49"/>
      <c r="H48" s="49"/>
      <c r="I48" s="49"/>
      <c r="J48" s="49"/>
      <c r="K48" s="50"/>
      <c r="L48" s="50"/>
      <c r="M48" s="50"/>
      <c r="N48" s="50"/>
      <c r="O48" s="50"/>
      <c r="P48" s="50"/>
    </row>
    <row r="49" spans="1:16" s="89" customFormat="1" ht="16.5">
      <c r="A49" s="51">
        <v>21</v>
      </c>
      <c r="B49" s="96"/>
      <c r="C49" s="47" t="s">
        <v>45</v>
      </c>
      <c r="D49" s="52" t="s">
        <v>17</v>
      </c>
      <c r="E49" s="48">
        <f>E41</f>
        <v>192</v>
      </c>
      <c r="F49" s="48"/>
      <c r="G49" s="49"/>
      <c r="H49" s="49"/>
      <c r="I49" s="49"/>
      <c r="J49" s="49"/>
      <c r="K49" s="50"/>
      <c r="L49" s="50"/>
      <c r="M49" s="50"/>
      <c r="N49" s="50"/>
      <c r="O49" s="50"/>
      <c r="P49" s="50"/>
    </row>
    <row r="50" spans="1:16" s="89" customFormat="1" ht="16.5">
      <c r="A50" s="51"/>
      <c r="B50" s="96"/>
      <c r="C50" s="209" t="s">
        <v>46</v>
      </c>
      <c r="D50" s="52" t="s">
        <v>17</v>
      </c>
      <c r="E50" s="48">
        <f>E49*1.15</f>
        <v>220.79999999999998</v>
      </c>
      <c r="F50" s="48"/>
      <c r="G50" s="49"/>
      <c r="H50" s="49"/>
      <c r="I50" s="49"/>
      <c r="J50" s="49"/>
      <c r="K50" s="50"/>
      <c r="L50" s="50"/>
      <c r="M50" s="50"/>
      <c r="N50" s="50"/>
      <c r="O50" s="50"/>
      <c r="P50" s="50"/>
    </row>
    <row r="51" spans="1:16" s="44" customFormat="1" ht="19.5" customHeight="1">
      <c r="A51" s="51">
        <f>A49+1</f>
        <v>22</v>
      </c>
      <c r="B51" s="96"/>
      <c r="C51" s="47" t="s">
        <v>177</v>
      </c>
      <c r="D51" s="52" t="s">
        <v>17</v>
      </c>
      <c r="E51" s="48">
        <f>E41</f>
        <v>192</v>
      </c>
      <c r="F51" s="48"/>
      <c r="G51" s="49"/>
      <c r="H51" s="49"/>
      <c r="I51" s="49"/>
      <c r="J51" s="49"/>
      <c r="K51" s="50"/>
      <c r="L51" s="50"/>
      <c r="M51" s="50"/>
      <c r="N51" s="50"/>
      <c r="O51" s="50"/>
      <c r="P51" s="50"/>
    </row>
    <row r="52" spans="1:16" s="44" customFormat="1" ht="41.25" customHeight="1">
      <c r="A52" s="51"/>
      <c r="B52" s="96"/>
      <c r="C52" s="209" t="s">
        <v>178</v>
      </c>
      <c r="D52" s="52" t="s">
        <v>17</v>
      </c>
      <c r="E52" s="48">
        <f>E51*1.03</f>
        <v>197.76</v>
      </c>
      <c r="F52" s="48"/>
      <c r="G52" s="49"/>
      <c r="H52" s="49"/>
      <c r="I52" s="49"/>
      <c r="J52" s="49"/>
      <c r="K52" s="50"/>
      <c r="L52" s="50"/>
      <c r="M52" s="50"/>
      <c r="N52" s="50"/>
      <c r="O52" s="50"/>
      <c r="P52" s="50"/>
    </row>
    <row r="53" spans="1:16" s="44" customFormat="1" ht="41.25" customHeight="1">
      <c r="A53" s="51"/>
      <c r="B53" s="96"/>
      <c r="C53" s="209" t="s">
        <v>179</v>
      </c>
      <c r="D53" s="52" t="s">
        <v>17</v>
      </c>
      <c r="E53" s="48">
        <f>E51*1.03</f>
        <v>197.76</v>
      </c>
      <c r="F53" s="48"/>
      <c r="G53" s="49"/>
      <c r="H53" s="49"/>
      <c r="I53" s="49"/>
      <c r="J53" s="49"/>
      <c r="K53" s="50"/>
      <c r="L53" s="50"/>
      <c r="M53" s="50"/>
      <c r="N53" s="50"/>
      <c r="O53" s="50"/>
      <c r="P53" s="50"/>
    </row>
    <row r="54" spans="1:16" s="44" customFormat="1" ht="18.75" customHeight="1">
      <c r="A54" s="51"/>
      <c r="B54" s="96"/>
      <c r="C54" s="209" t="s">
        <v>79</v>
      </c>
      <c r="D54" s="52" t="s">
        <v>88</v>
      </c>
      <c r="E54" s="48">
        <f>E51*4</f>
        <v>768</v>
      </c>
      <c r="F54" s="48"/>
      <c r="G54" s="49"/>
      <c r="H54" s="49"/>
      <c r="I54" s="49"/>
      <c r="J54" s="49"/>
      <c r="K54" s="50"/>
      <c r="L54" s="50"/>
      <c r="M54" s="50"/>
      <c r="N54" s="50"/>
      <c r="O54" s="50"/>
      <c r="P54" s="50"/>
    </row>
    <row r="55" spans="1:16" s="89" customFormat="1" ht="20.25" customHeight="1">
      <c r="A55" s="51">
        <f>A51+1</f>
        <v>23</v>
      </c>
      <c r="B55" s="96"/>
      <c r="C55" s="47" t="s">
        <v>177</v>
      </c>
      <c r="D55" s="52" t="s">
        <v>17</v>
      </c>
      <c r="E55" s="48">
        <f>E41</f>
        <v>192</v>
      </c>
      <c r="F55" s="48"/>
      <c r="G55" s="49"/>
      <c r="H55" s="49"/>
      <c r="I55" s="49"/>
      <c r="J55" s="49"/>
      <c r="K55" s="50"/>
      <c r="L55" s="50"/>
      <c r="M55" s="50"/>
      <c r="N55" s="50"/>
      <c r="O55" s="50"/>
      <c r="P55" s="50"/>
    </row>
    <row r="56" spans="1:16" s="44" customFormat="1" ht="33">
      <c r="A56" s="51"/>
      <c r="B56" s="96"/>
      <c r="C56" s="209" t="s">
        <v>180</v>
      </c>
      <c r="D56" s="52" t="s">
        <v>17</v>
      </c>
      <c r="E56" s="48">
        <f>E55*1.03</f>
        <v>197.76</v>
      </c>
      <c r="F56" s="48"/>
      <c r="G56" s="49"/>
      <c r="H56" s="49"/>
      <c r="I56" s="49"/>
      <c r="J56" s="49"/>
      <c r="K56" s="50"/>
      <c r="L56" s="50"/>
      <c r="M56" s="50"/>
      <c r="N56" s="50"/>
      <c r="O56" s="50"/>
      <c r="P56" s="50"/>
    </row>
    <row r="57" spans="1:16" s="89" customFormat="1" ht="36" customHeight="1">
      <c r="A57" s="51">
        <v>24</v>
      </c>
      <c r="B57" s="96"/>
      <c r="C57" s="47" t="s">
        <v>181</v>
      </c>
      <c r="D57" s="52" t="s">
        <v>17</v>
      </c>
      <c r="E57" s="48">
        <v>8</v>
      </c>
      <c r="F57" s="48"/>
      <c r="G57" s="49"/>
      <c r="H57" s="49"/>
      <c r="I57" s="49"/>
      <c r="J57" s="49"/>
      <c r="K57" s="50"/>
      <c r="L57" s="50"/>
      <c r="M57" s="50"/>
      <c r="N57" s="50"/>
      <c r="O57" s="50"/>
      <c r="P57" s="50"/>
    </row>
    <row r="58" spans="1:16" s="44" customFormat="1" ht="21.75" customHeight="1">
      <c r="A58" s="51"/>
      <c r="B58" s="96"/>
      <c r="C58" s="209" t="s">
        <v>182</v>
      </c>
      <c r="D58" s="52" t="s">
        <v>17</v>
      </c>
      <c r="E58" s="48">
        <f>E57*1.03</f>
        <v>8.24</v>
      </c>
      <c r="F58" s="48"/>
      <c r="G58" s="49"/>
      <c r="H58" s="49"/>
      <c r="I58" s="49"/>
      <c r="J58" s="49"/>
      <c r="K58" s="50"/>
      <c r="L58" s="50"/>
      <c r="M58" s="50"/>
      <c r="N58" s="50"/>
      <c r="O58" s="50"/>
      <c r="P58" s="50"/>
    </row>
    <row r="59" spans="1:16" s="89" customFormat="1" ht="55.5" customHeight="1">
      <c r="A59" s="51">
        <v>25</v>
      </c>
      <c r="B59" s="96"/>
      <c r="C59" s="47" t="s">
        <v>183</v>
      </c>
      <c r="D59" s="52" t="s">
        <v>17</v>
      </c>
      <c r="E59" s="48">
        <v>8</v>
      </c>
      <c r="F59" s="48"/>
      <c r="G59" s="49"/>
      <c r="H59" s="49"/>
      <c r="I59" s="49"/>
      <c r="J59" s="49"/>
      <c r="K59" s="50"/>
      <c r="L59" s="50"/>
      <c r="M59" s="50"/>
      <c r="N59" s="50"/>
      <c r="O59" s="50"/>
      <c r="P59" s="50"/>
    </row>
    <row r="60" spans="1:16" s="44" customFormat="1" ht="16.5" customHeight="1">
      <c r="A60" s="51"/>
      <c r="B60" s="96"/>
      <c r="C60" s="209" t="s">
        <v>184</v>
      </c>
      <c r="D60" s="52" t="s">
        <v>17</v>
      </c>
      <c r="E60" s="48">
        <f>E59*1.03</f>
        <v>8.24</v>
      </c>
      <c r="F60" s="48"/>
      <c r="G60" s="49"/>
      <c r="H60" s="49"/>
      <c r="I60" s="49"/>
      <c r="J60" s="49"/>
      <c r="K60" s="50"/>
      <c r="L60" s="50"/>
      <c r="M60" s="50"/>
      <c r="N60" s="50"/>
      <c r="O60" s="50"/>
      <c r="P60" s="50"/>
    </row>
    <row r="61" spans="1:16" s="89" customFormat="1" ht="66">
      <c r="A61" s="51">
        <v>26</v>
      </c>
      <c r="B61" s="96"/>
      <c r="C61" s="47" t="s">
        <v>81</v>
      </c>
      <c r="D61" s="52" t="s">
        <v>17</v>
      </c>
      <c r="E61" s="48">
        <f>E41</f>
        <v>192</v>
      </c>
      <c r="F61" s="48"/>
      <c r="G61" s="49"/>
      <c r="H61" s="49"/>
      <c r="I61" s="49"/>
      <c r="J61" s="49"/>
      <c r="K61" s="50"/>
      <c r="L61" s="50"/>
      <c r="M61" s="50"/>
      <c r="N61" s="50"/>
      <c r="O61" s="50"/>
      <c r="P61" s="50"/>
    </row>
    <row r="62" spans="1:16" s="89" customFormat="1" ht="33">
      <c r="A62" s="51"/>
      <c r="B62" s="96"/>
      <c r="C62" s="209" t="s">
        <v>82</v>
      </c>
      <c r="D62" s="52" t="s">
        <v>17</v>
      </c>
      <c r="E62" s="48">
        <f>E61*1.15</f>
        <v>220.79999999999998</v>
      </c>
      <c r="F62" s="48"/>
      <c r="G62" s="49"/>
      <c r="H62" s="49"/>
      <c r="I62" s="49"/>
      <c r="J62" s="49"/>
      <c r="K62" s="50"/>
      <c r="L62" s="50"/>
      <c r="M62" s="50"/>
      <c r="N62" s="50"/>
      <c r="O62" s="50"/>
      <c r="P62" s="50"/>
    </row>
    <row r="63" spans="1:16" s="89" customFormat="1" ht="16.5">
      <c r="A63" s="51"/>
      <c r="B63" s="96"/>
      <c r="C63" s="209" t="s">
        <v>185</v>
      </c>
      <c r="D63" s="52" t="s">
        <v>52</v>
      </c>
      <c r="E63" s="48">
        <f>ROUND(E61*0.011,0)</f>
        <v>2</v>
      </c>
      <c r="F63" s="48"/>
      <c r="G63" s="49"/>
      <c r="H63" s="49"/>
      <c r="I63" s="49"/>
      <c r="J63" s="49"/>
      <c r="K63" s="50"/>
      <c r="L63" s="50"/>
      <c r="M63" s="50"/>
      <c r="N63" s="50"/>
      <c r="O63" s="50"/>
      <c r="P63" s="50"/>
    </row>
    <row r="64" spans="1:16" s="89" customFormat="1" ht="49.5">
      <c r="A64" s="51">
        <v>27</v>
      </c>
      <c r="B64" s="96"/>
      <c r="C64" s="47" t="s">
        <v>83</v>
      </c>
      <c r="D64" s="52" t="s">
        <v>17</v>
      </c>
      <c r="E64" s="48">
        <f>E41</f>
        <v>192</v>
      </c>
      <c r="F64" s="48"/>
      <c r="G64" s="49"/>
      <c r="H64" s="49"/>
      <c r="I64" s="49"/>
      <c r="J64" s="49"/>
      <c r="K64" s="50"/>
      <c r="L64" s="50"/>
      <c r="M64" s="50"/>
      <c r="N64" s="50"/>
      <c r="O64" s="50"/>
      <c r="P64" s="50"/>
    </row>
    <row r="65" spans="1:16" s="89" customFormat="1" ht="33">
      <c r="A65" s="51"/>
      <c r="B65" s="96"/>
      <c r="C65" s="209" t="s">
        <v>84</v>
      </c>
      <c r="D65" s="52" t="s">
        <v>17</v>
      </c>
      <c r="E65" s="48">
        <f>E64*1.15</f>
        <v>220.79999999999998</v>
      </c>
      <c r="F65" s="48"/>
      <c r="G65" s="49"/>
      <c r="H65" s="49"/>
      <c r="I65" s="49"/>
      <c r="J65" s="49"/>
      <c r="K65" s="50"/>
      <c r="L65" s="50"/>
      <c r="M65" s="50"/>
      <c r="N65" s="50"/>
      <c r="O65" s="50"/>
      <c r="P65" s="50"/>
    </row>
    <row r="66" spans="1:16" s="89" customFormat="1" ht="16.5">
      <c r="A66" s="51"/>
      <c r="B66" s="96"/>
      <c r="C66" s="209" t="s">
        <v>185</v>
      </c>
      <c r="D66" s="52" t="s">
        <v>52</v>
      </c>
      <c r="E66" s="48">
        <f>ROUND(E64*0.011,0)</f>
        <v>2</v>
      </c>
      <c r="F66" s="48"/>
      <c r="G66" s="49"/>
      <c r="H66" s="49"/>
      <c r="I66" s="49"/>
      <c r="J66" s="49"/>
      <c r="K66" s="50"/>
      <c r="L66" s="50"/>
      <c r="M66" s="50"/>
      <c r="N66" s="50"/>
      <c r="O66" s="50"/>
      <c r="P66" s="50"/>
    </row>
    <row r="67" spans="1:16" s="89" customFormat="1" ht="18.75" customHeight="1">
      <c r="A67" s="51">
        <v>28</v>
      </c>
      <c r="B67" s="96"/>
      <c r="C67" s="47" t="s">
        <v>186</v>
      </c>
      <c r="D67" s="52" t="s">
        <v>21</v>
      </c>
      <c r="E67" s="48">
        <v>32</v>
      </c>
      <c r="F67" s="48"/>
      <c r="G67" s="49"/>
      <c r="H67" s="49"/>
      <c r="I67" s="49"/>
      <c r="J67" s="49"/>
      <c r="K67" s="50"/>
      <c r="L67" s="50"/>
      <c r="M67" s="50"/>
      <c r="N67" s="50"/>
      <c r="O67" s="50"/>
      <c r="P67" s="50"/>
    </row>
    <row r="68" spans="1:16" s="90" customFormat="1" ht="16.5">
      <c r="A68" s="51">
        <v>29</v>
      </c>
      <c r="B68" s="96"/>
      <c r="C68" s="47" t="s">
        <v>187</v>
      </c>
      <c r="D68" s="52" t="s">
        <v>21</v>
      </c>
      <c r="E68" s="48">
        <v>16</v>
      </c>
      <c r="F68" s="48"/>
      <c r="G68" s="49"/>
      <c r="H68" s="49"/>
      <c r="I68" s="49"/>
      <c r="J68" s="48"/>
      <c r="K68" s="50"/>
      <c r="L68" s="50"/>
      <c r="M68" s="50"/>
      <c r="N68" s="50"/>
      <c r="O68" s="50"/>
      <c r="P68" s="50"/>
    </row>
    <row r="69" spans="1:16" s="90" customFormat="1" ht="16.5">
      <c r="A69" s="51">
        <v>30</v>
      </c>
      <c r="B69" s="96"/>
      <c r="C69" s="47" t="s">
        <v>188</v>
      </c>
      <c r="D69" s="52" t="s">
        <v>21</v>
      </c>
      <c r="E69" s="48">
        <v>10</v>
      </c>
      <c r="F69" s="48"/>
      <c r="G69" s="49"/>
      <c r="H69" s="49"/>
      <c r="I69" s="49"/>
      <c r="J69" s="48"/>
      <c r="K69" s="50"/>
      <c r="L69" s="50"/>
      <c r="M69" s="50"/>
      <c r="N69" s="50"/>
      <c r="O69" s="50"/>
      <c r="P69" s="50"/>
    </row>
    <row r="70" spans="1:16" s="90" customFormat="1" ht="16.5">
      <c r="A70" s="51">
        <v>31</v>
      </c>
      <c r="B70" s="96"/>
      <c r="C70" s="47" t="s">
        <v>189</v>
      </c>
      <c r="D70" s="52" t="s">
        <v>88</v>
      </c>
      <c r="E70" s="48">
        <v>2</v>
      </c>
      <c r="F70" s="48"/>
      <c r="G70" s="49"/>
      <c r="H70" s="49"/>
      <c r="I70" s="49"/>
      <c r="J70" s="48"/>
      <c r="K70" s="50"/>
      <c r="L70" s="50"/>
      <c r="M70" s="50"/>
      <c r="N70" s="50"/>
      <c r="O70" s="50"/>
      <c r="P70" s="50"/>
    </row>
    <row r="71" spans="1:16" s="242" customFormat="1" ht="16.5">
      <c r="A71" s="51"/>
      <c r="B71" s="307"/>
      <c r="C71" s="117" t="s">
        <v>108</v>
      </c>
      <c r="D71" s="52"/>
      <c r="E71" s="52"/>
      <c r="F71" s="265"/>
      <c r="G71" s="49"/>
      <c r="H71" s="49"/>
      <c r="I71" s="49"/>
      <c r="J71" s="50"/>
      <c r="K71" s="50"/>
      <c r="L71" s="50"/>
      <c r="M71" s="50"/>
      <c r="N71" s="50"/>
      <c r="O71" s="50"/>
      <c r="P71" s="50"/>
    </row>
    <row r="72" spans="1:16" s="90" customFormat="1" ht="33">
      <c r="A72" s="51">
        <v>32</v>
      </c>
      <c r="B72" s="96"/>
      <c r="C72" s="47" t="s">
        <v>139</v>
      </c>
      <c r="D72" s="52" t="s">
        <v>17</v>
      </c>
      <c r="E72" s="48">
        <v>130</v>
      </c>
      <c r="F72" s="216"/>
      <c r="G72" s="49"/>
      <c r="H72" s="49"/>
      <c r="I72" s="49"/>
      <c r="J72" s="49"/>
      <c r="K72" s="50"/>
      <c r="L72" s="50"/>
      <c r="M72" s="50"/>
      <c r="N72" s="50"/>
      <c r="O72" s="50"/>
      <c r="P72" s="50"/>
    </row>
    <row r="73" spans="1:16" s="90" customFormat="1" ht="16.5">
      <c r="A73" s="51"/>
      <c r="B73" s="96"/>
      <c r="C73" s="209" t="s">
        <v>200</v>
      </c>
      <c r="D73" s="52" t="s">
        <v>33</v>
      </c>
      <c r="E73" s="48">
        <v>3</v>
      </c>
      <c r="F73" s="216"/>
      <c r="G73" s="49"/>
      <c r="H73" s="49"/>
      <c r="I73" s="49"/>
      <c r="J73" s="49"/>
      <c r="K73" s="50"/>
      <c r="L73" s="50"/>
      <c r="M73" s="50"/>
      <c r="N73" s="50"/>
      <c r="O73" s="50"/>
      <c r="P73" s="50"/>
    </row>
    <row r="74" spans="1:16" s="90" customFormat="1" ht="16.5">
      <c r="A74" s="51"/>
      <c r="B74" s="96"/>
      <c r="C74" s="209" t="s">
        <v>112</v>
      </c>
      <c r="D74" s="52" t="s">
        <v>33</v>
      </c>
      <c r="E74" s="48">
        <f>0.0025*E72</f>
        <v>0.325</v>
      </c>
      <c r="F74" s="216"/>
      <c r="G74" s="49"/>
      <c r="H74" s="49"/>
      <c r="I74" s="49"/>
      <c r="J74" s="49"/>
      <c r="K74" s="50"/>
      <c r="L74" s="50"/>
      <c r="M74" s="50"/>
      <c r="N74" s="50"/>
      <c r="O74" s="50"/>
      <c r="P74" s="50"/>
    </row>
    <row r="75" spans="1:16" s="90" customFormat="1" ht="16.5">
      <c r="A75" s="51"/>
      <c r="B75" s="96"/>
      <c r="C75" s="209" t="s">
        <v>113</v>
      </c>
      <c r="D75" s="52" t="s">
        <v>19</v>
      </c>
      <c r="E75" s="48">
        <f>0.35*E72</f>
        <v>45.5</v>
      </c>
      <c r="F75" s="216"/>
      <c r="G75" s="49"/>
      <c r="H75" s="49"/>
      <c r="I75" s="49"/>
      <c r="J75" s="49"/>
      <c r="K75" s="50"/>
      <c r="L75" s="50"/>
      <c r="M75" s="50"/>
      <c r="N75" s="50"/>
      <c r="O75" s="50"/>
      <c r="P75" s="50"/>
    </row>
    <row r="76" spans="1:16" s="90" customFormat="1" ht="16.5">
      <c r="A76" s="51"/>
      <c r="B76" s="96"/>
      <c r="C76" s="209" t="s">
        <v>114</v>
      </c>
      <c r="D76" s="52" t="s">
        <v>17</v>
      </c>
      <c r="E76" s="48">
        <f>E72*1.12</f>
        <v>145.60000000000002</v>
      </c>
      <c r="F76" s="216"/>
      <c r="G76" s="49"/>
      <c r="H76" s="49"/>
      <c r="I76" s="49"/>
      <c r="J76" s="49"/>
      <c r="K76" s="50"/>
      <c r="L76" s="50"/>
      <c r="M76" s="50"/>
      <c r="N76" s="50"/>
      <c r="O76" s="50"/>
      <c r="P76" s="50"/>
    </row>
    <row r="77" spans="1:16" s="90" customFormat="1" ht="16.5">
      <c r="A77" s="51"/>
      <c r="B77" s="96"/>
      <c r="C77" s="209" t="s">
        <v>109</v>
      </c>
      <c r="D77" s="52" t="s">
        <v>23</v>
      </c>
      <c r="E77" s="48">
        <f>E72*10</f>
        <v>1300</v>
      </c>
      <c r="F77" s="216"/>
      <c r="G77" s="49"/>
      <c r="H77" s="49"/>
      <c r="I77" s="49"/>
      <c r="J77" s="49"/>
      <c r="K77" s="50"/>
      <c r="L77" s="50"/>
      <c r="M77" s="50"/>
      <c r="N77" s="50"/>
      <c r="O77" s="50"/>
      <c r="P77" s="50"/>
    </row>
    <row r="78" spans="1:16" s="90" customFormat="1" ht="16.5">
      <c r="A78" s="51">
        <v>33</v>
      </c>
      <c r="B78" s="96"/>
      <c r="C78" s="47" t="s">
        <v>110</v>
      </c>
      <c r="D78" s="52" t="s">
        <v>17</v>
      </c>
      <c r="E78" s="48">
        <f>E72</f>
        <v>130</v>
      </c>
      <c r="F78" s="216"/>
      <c r="G78" s="49"/>
      <c r="H78" s="49"/>
      <c r="I78" s="49"/>
      <c r="J78" s="49"/>
      <c r="K78" s="50"/>
      <c r="L78" s="50"/>
      <c r="M78" s="50"/>
      <c r="N78" s="50"/>
      <c r="O78" s="50"/>
      <c r="P78" s="50"/>
    </row>
    <row r="79" spans="1:16" s="90" customFormat="1" ht="16.5">
      <c r="A79" s="51"/>
      <c r="B79" s="96"/>
      <c r="C79" s="209" t="s">
        <v>40</v>
      </c>
      <c r="D79" s="52" t="s">
        <v>28</v>
      </c>
      <c r="E79" s="48">
        <f>E78*0.35</f>
        <v>45.5</v>
      </c>
      <c r="F79" s="216"/>
      <c r="G79" s="49"/>
      <c r="H79" s="49"/>
      <c r="I79" s="49"/>
      <c r="J79" s="49"/>
      <c r="K79" s="50"/>
      <c r="L79" s="50"/>
      <c r="M79" s="50"/>
      <c r="N79" s="50"/>
      <c r="O79" s="50"/>
      <c r="P79" s="50"/>
    </row>
    <row r="80" spans="1:16" s="127" customFormat="1" ht="16.5">
      <c r="A80" s="87"/>
      <c r="B80" s="239"/>
      <c r="C80" s="240" t="s">
        <v>134</v>
      </c>
      <c r="D80" s="240"/>
      <c r="E80" s="240"/>
      <c r="F80" s="240"/>
      <c r="G80" s="49"/>
      <c r="H80" s="49"/>
      <c r="I80" s="126"/>
      <c r="J80" s="126"/>
      <c r="K80" s="50"/>
      <c r="L80" s="50"/>
      <c r="M80" s="50"/>
      <c r="N80" s="50"/>
      <c r="O80" s="50"/>
      <c r="P80" s="50"/>
    </row>
    <row r="81" spans="1:16" s="305" customFormat="1" ht="17.25" customHeight="1">
      <c r="A81" s="232">
        <v>34</v>
      </c>
      <c r="B81" s="266"/>
      <c r="C81" s="275" t="s">
        <v>138</v>
      </c>
      <c r="D81" s="232" t="s">
        <v>17</v>
      </c>
      <c r="E81" s="233">
        <v>1505</v>
      </c>
      <c r="F81" s="48"/>
      <c r="G81" s="49"/>
      <c r="H81" s="49"/>
      <c r="I81" s="48"/>
      <c r="J81" s="48"/>
      <c r="K81" s="50"/>
      <c r="L81" s="50"/>
      <c r="M81" s="50"/>
      <c r="N81" s="50"/>
      <c r="O81" s="50"/>
      <c r="P81" s="50"/>
    </row>
    <row r="82" spans="1:16" s="305" customFormat="1" ht="18" customHeight="1">
      <c r="A82" s="232"/>
      <c r="B82" s="306"/>
      <c r="C82" s="231" t="s">
        <v>46</v>
      </c>
      <c r="D82" s="232" t="s">
        <v>17</v>
      </c>
      <c r="E82" s="233">
        <v>1655.5</v>
      </c>
      <c r="F82" s="48"/>
      <c r="G82" s="49"/>
      <c r="H82" s="49"/>
      <c r="I82" s="48"/>
      <c r="J82" s="48"/>
      <c r="K82" s="50"/>
      <c r="L82" s="50"/>
      <c r="M82" s="50"/>
      <c r="N82" s="50"/>
      <c r="O82" s="50"/>
      <c r="P82" s="50"/>
    </row>
    <row r="83" spans="1:16" s="305" customFormat="1" ht="32.25" customHeight="1">
      <c r="A83" s="243">
        <v>36</v>
      </c>
      <c r="B83" s="266"/>
      <c r="C83" s="276" t="s">
        <v>147</v>
      </c>
      <c r="D83" s="243" t="s">
        <v>17</v>
      </c>
      <c r="E83" s="244">
        <f>E81</f>
        <v>1505</v>
      </c>
      <c r="F83" s="48"/>
      <c r="G83" s="49"/>
      <c r="H83" s="49"/>
      <c r="I83" s="48"/>
      <c r="J83" s="48"/>
      <c r="K83" s="50"/>
      <c r="L83" s="50"/>
      <c r="M83" s="50"/>
      <c r="N83" s="50"/>
      <c r="O83" s="50"/>
      <c r="P83" s="50"/>
    </row>
    <row r="84" spans="1:16" s="305" customFormat="1" ht="18" customHeight="1">
      <c r="A84" s="232"/>
      <c r="B84" s="266"/>
      <c r="C84" s="231" t="s">
        <v>148</v>
      </c>
      <c r="D84" s="232" t="s">
        <v>17</v>
      </c>
      <c r="E84" s="233">
        <f>1.03*E83</f>
        <v>1550.15</v>
      </c>
      <c r="F84" s="48"/>
      <c r="G84" s="49"/>
      <c r="H84" s="49"/>
      <c r="I84" s="48"/>
      <c r="J84" s="48"/>
      <c r="K84" s="50"/>
      <c r="L84" s="50"/>
      <c r="M84" s="50"/>
      <c r="N84" s="50"/>
      <c r="O84" s="50"/>
      <c r="P84" s="50"/>
    </row>
    <row r="85" spans="1:16" s="305" customFormat="1" ht="18" customHeight="1">
      <c r="A85" s="232"/>
      <c r="B85" s="266"/>
      <c r="C85" s="231" t="s">
        <v>149</v>
      </c>
      <c r="D85" s="232" t="s">
        <v>17</v>
      </c>
      <c r="E85" s="233">
        <f>1.03*E83</f>
        <v>1550.15</v>
      </c>
      <c r="F85" s="48"/>
      <c r="G85" s="49"/>
      <c r="H85" s="49"/>
      <c r="I85" s="48"/>
      <c r="J85" s="48"/>
      <c r="K85" s="50"/>
      <c r="L85" s="50"/>
      <c r="M85" s="50"/>
      <c r="N85" s="50"/>
      <c r="O85" s="50"/>
      <c r="P85" s="50"/>
    </row>
    <row r="86" spans="1:16" s="305" customFormat="1" ht="32.25" customHeight="1">
      <c r="A86" s="243">
        <v>37</v>
      </c>
      <c r="B86" s="266"/>
      <c r="C86" s="276" t="s">
        <v>150</v>
      </c>
      <c r="D86" s="243" t="s">
        <v>17</v>
      </c>
      <c r="E86" s="244">
        <v>130.2</v>
      </c>
      <c r="F86" s="48"/>
      <c r="G86" s="49"/>
      <c r="H86" s="49"/>
      <c r="I86" s="48"/>
      <c r="J86" s="48"/>
      <c r="K86" s="50"/>
      <c r="L86" s="50"/>
      <c r="M86" s="50"/>
      <c r="N86" s="50"/>
      <c r="O86" s="50"/>
      <c r="P86" s="50"/>
    </row>
    <row r="87" spans="1:16" s="305" customFormat="1" ht="18" customHeight="1">
      <c r="A87" s="232"/>
      <c r="B87" s="266"/>
      <c r="C87" s="231" t="s">
        <v>151</v>
      </c>
      <c r="D87" s="232" t="s">
        <v>17</v>
      </c>
      <c r="E87" s="233">
        <v>19.2</v>
      </c>
      <c r="F87" s="48"/>
      <c r="G87" s="49"/>
      <c r="H87" s="49"/>
      <c r="I87" s="48"/>
      <c r="J87" s="48"/>
      <c r="K87" s="50"/>
      <c r="L87" s="50"/>
      <c r="M87" s="50"/>
      <c r="N87" s="50"/>
      <c r="O87" s="50"/>
      <c r="P87" s="50"/>
    </row>
    <row r="88" spans="1:16" s="305" customFormat="1" ht="18" customHeight="1">
      <c r="A88" s="232"/>
      <c r="B88" s="266"/>
      <c r="C88" s="231" t="s">
        <v>152</v>
      </c>
      <c r="D88" s="232" t="s">
        <v>33</v>
      </c>
      <c r="E88" s="233">
        <v>0.8</v>
      </c>
      <c r="F88" s="48"/>
      <c r="G88" s="49"/>
      <c r="H88" s="49"/>
      <c r="I88" s="48"/>
      <c r="J88" s="48"/>
      <c r="K88" s="50"/>
      <c r="L88" s="50"/>
      <c r="M88" s="50"/>
      <c r="N88" s="50"/>
      <c r="O88" s="50"/>
      <c r="P88" s="50"/>
    </row>
    <row r="89" spans="1:16" s="305" customFormat="1" ht="18" customHeight="1">
      <c r="A89" s="232"/>
      <c r="B89" s="266"/>
      <c r="C89" s="231" t="s">
        <v>153</v>
      </c>
      <c r="D89" s="232" t="s">
        <v>19</v>
      </c>
      <c r="E89" s="233">
        <v>15</v>
      </c>
      <c r="F89" s="48"/>
      <c r="G89" s="49"/>
      <c r="H89" s="49"/>
      <c r="I89" s="48"/>
      <c r="J89" s="48"/>
      <c r="K89" s="50"/>
      <c r="L89" s="50"/>
      <c r="M89" s="50"/>
      <c r="N89" s="50"/>
      <c r="O89" s="50"/>
      <c r="P89" s="50"/>
    </row>
    <row r="90" spans="1:16" s="305" customFormat="1" ht="18" customHeight="1">
      <c r="A90" s="232"/>
      <c r="B90" s="266"/>
      <c r="C90" s="231" t="s">
        <v>159</v>
      </c>
      <c r="D90" s="232" t="s">
        <v>17</v>
      </c>
      <c r="E90" s="233">
        <f>1.03*E86</f>
        <v>134.106</v>
      </c>
      <c r="F90" s="48"/>
      <c r="G90" s="49"/>
      <c r="H90" s="49"/>
      <c r="I90" s="48"/>
      <c r="J90" s="48"/>
      <c r="K90" s="50"/>
      <c r="L90" s="50"/>
      <c r="M90" s="50"/>
      <c r="N90" s="50"/>
      <c r="O90" s="50"/>
      <c r="P90" s="50"/>
    </row>
    <row r="91" spans="1:16" s="305" customFormat="1" ht="18" customHeight="1">
      <c r="A91" s="232"/>
      <c r="B91" s="266"/>
      <c r="C91" s="231" t="s">
        <v>155</v>
      </c>
      <c r="D91" s="232" t="s">
        <v>17</v>
      </c>
      <c r="E91" s="233">
        <f>1.03*E86</f>
        <v>134.106</v>
      </c>
      <c r="F91" s="48"/>
      <c r="G91" s="49"/>
      <c r="H91" s="49"/>
      <c r="I91" s="48"/>
      <c r="J91" s="48"/>
      <c r="K91" s="50"/>
      <c r="L91" s="50"/>
      <c r="M91" s="50"/>
      <c r="N91" s="50"/>
      <c r="O91" s="50"/>
      <c r="P91" s="50"/>
    </row>
    <row r="92" spans="1:16" s="305" customFormat="1" ht="32.25" customHeight="1">
      <c r="A92" s="243">
        <v>38</v>
      </c>
      <c r="B92" s="266"/>
      <c r="C92" s="276" t="s">
        <v>156</v>
      </c>
      <c r="D92" s="243" t="s">
        <v>17</v>
      </c>
      <c r="E92" s="244">
        <f>E86</f>
        <v>130.2</v>
      </c>
      <c r="F92" s="48"/>
      <c r="G92" s="49"/>
      <c r="H92" s="49"/>
      <c r="I92" s="48"/>
      <c r="J92" s="48"/>
      <c r="K92" s="50"/>
      <c r="L92" s="50"/>
      <c r="M92" s="50"/>
      <c r="N92" s="50"/>
      <c r="O92" s="50"/>
      <c r="P92" s="50"/>
    </row>
    <row r="93" spans="1:16" s="305" customFormat="1" ht="18" customHeight="1">
      <c r="A93" s="232"/>
      <c r="B93" s="266"/>
      <c r="C93" s="231" t="s">
        <v>154</v>
      </c>
      <c r="D93" s="232" t="s">
        <v>17</v>
      </c>
      <c r="E93" s="233">
        <f>1.03*E92</f>
        <v>134.106</v>
      </c>
      <c r="F93" s="48"/>
      <c r="G93" s="49"/>
      <c r="H93" s="49"/>
      <c r="I93" s="48"/>
      <c r="J93" s="48"/>
      <c r="K93" s="50"/>
      <c r="L93" s="50"/>
      <c r="M93" s="50"/>
      <c r="N93" s="50"/>
      <c r="O93" s="50"/>
      <c r="P93" s="50"/>
    </row>
    <row r="94" spans="1:16" s="305" customFormat="1" ht="17.25" customHeight="1">
      <c r="A94" s="232">
        <v>39</v>
      </c>
      <c r="B94" s="266"/>
      <c r="C94" s="277" t="s">
        <v>135</v>
      </c>
      <c r="D94" s="232" t="s">
        <v>17</v>
      </c>
      <c r="E94" s="233">
        <v>65</v>
      </c>
      <c r="F94" s="48"/>
      <c r="G94" s="49"/>
      <c r="H94" s="49"/>
      <c r="I94" s="48"/>
      <c r="J94" s="48"/>
      <c r="K94" s="50"/>
      <c r="L94" s="50"/>
      <c r="M94" s="50"/>
      <c r="N94" s="50"/>
      <c r="O94" s="50"/>
      <c r="P94" s="50"/>
    </row>
    <row r="95" spans="1:16" s="305" customFormat="1" ht="17.25" customHeight="1">
      <c r="A95" s="232"/>
      <c r="B95" s="266"/>
      <c r="C95" s="278" t="s">
        <v>136</v>
      </c>
      <c r="D95" s="232" t="s">
        <v>33</v>
      </c>
      <c r="E95" s="233">
        <f>0.041*E94</f>
        <v>2.665</v>
      </c>
      <c r="F95" s="48"/>
      <c r="G95" s="49"/>
      <c r="H95" s="49"/>
      <c r="I95" s="48"/>
      <c r="J95" s="48"/>
      <c r="K95" s="50"/>
      <c r="L95" s="50"/>
      <c r="M95" s="50"/>
      <c r="N95" s="50"/>
      <c r="O95" s="50"/>
      <c r="P95" s="50"/>
    </row>
    <row r="96" spans="1:16" s="305" customFormat="1" ht="18" customHeight="1">
      <c r="A96" s="232"/>
      <c r="B96" s="266"/>
      <c r="C96" s="278" t="s">
        <v>137</v>
      </c>
      <c r="D96" s="232" t="s">
        <v>33</v>
      </c>
      <c r="E96" s="233">
        <f>0.0062*E94</f>
        <v>0.40299999999999997</v>
      </c>
      <c r="F96" s="48"/>
      <c r="G96" s="49"/>
      <c r="H96" s="49"/>
      <c r="I96" s="48"/>
      <c r="J96" s="48"/>
      <c r="K96" s="50"/>
      <c r="L96" s="50"/>
      <c r="M96" s="50"/>
      <c r="N96" s="50"/>
      <c r="O96" s="50"/>
      <c r="P96" s="50"/>
    </row>
    <row r="97" spans="1:16" s="305" customFormat="1" ht="18" customHeight="1">
      <c r="A97" s="232"/>
      <c r="B97" s="266"/>
      <c r="C97" s="231" t="s">
        <v>89</v>
      </c>
      <c r="D97" s="232" t="s">
        <v>19</v>
      </c>
      <c r="E97" s="233">
        <v>15</v>
      </c>
      <c r="F97" s="48"/>
      <c r="G97" s="49"/>
      <c r="H97" s="49"/>
      <c r="I97" s="48"/>
      <c r="J97" s="48"/>
      <c r="K97" s="50"/>
      <c r="L97" s="50"/>
      <c r="M97" s="50"/>
      <c r="N97" s="50"/>
      <c r="O97" s="50"/>
      <c r="P97" s="50"/>
    </row>
    <row r="98" spans="1:16" s="90" customFormat="1" ht="33">
      <c r="A98" s="51">
        <v>40</v>
      </c>
      <c r="B98" s="96"/>
      <c r="C98" s="47" t="s">
        <v>104</v>
      </c>
      <c r="D98" s="52" t="s">
        <v>33</v>
      </c>
      <c r="E98" s="48">
        <v>500</v>
      </c>
      <c r="F98" s="48"/>
      <c r="G98" s="49"/>
      <c r="H98" s="49"/>
      <c r="I98" s="49"/>
      <c r="J98" s="48"/>
      <c r="K98" s="50"/>
      <c r="L98" s="50"/>
      <c r="M98" s="50"/>
      <c r="N98" s="50"/>
      <c r="O98" s="50"/>
      <c r="P98" s="50"/>
    </row>
    <row r="99" spans="1:16" s="119" customFormat="1" ht="17.25" thickBot="1">
      <c r="A99" s="60"/>
      <c r="B99" s="60"/>
      <c r="C99" s="245"/>
      <c r="D99" s="60"/>
      <c r="E99" s="246"/>
      <c r="F99" s="62"/>
      <c r="G99" s="62"/>
      <c r="H99" s="62">
        <f>ROUND(F99*G99,2)</f>
        <v>0</v>
      </c>
      <c r="I99" s="247"/>
      <c r="J99" s="247"/>
      <c r="K99" s="247">
        <f>SUM(H99:J99)</f>
        <v>0</v>
      </c>
      <c r="L99" s="62">
        <f>ROUND(E99*F99,2)</f>
        <v>0</v>
      </c>
      <c r="M99" s="62">
        <f>ROUND(E99*H99,2)</f>
        <v>0</v>
      </c>
      <c r="N99" s="62">
        <f>ROUND(E99*I99,2)</f>
        <v>0</v>
      </c>
      <c r="O99" s="62">
        <f>ROUND(E99*J99,2)</f>
        <v>0</v>
      </c>
      <c r="P99" s="247">
        <f>SUM(M99:O99)</f>
        <v>0</v>
      </c>
    </row>
    <row r="100" spans="1:16" s="135" customFormat="1" ht="16.5">
      <c r="A100" s="248"/>
      <c r="B100" s="249"/>
      <c r="C100" s="250" t="s">
        <v>35</v>
      </c>
      <c r="D100" s="249" t="s">
        <v>326</v>
      </c>
      <c r="E100" s="251"/>
      <c r="F100" s="251"/>
      <c r="G100" s="252"/>
      <c r="H100" s="253"/>
      <c r="I100" s="252"/>
      <c r="J100" s="252"/>
      <c r="K100" s="252"/>
      <c r="L100" s="252">
        <f>SUM(L17:L99)</f>
        <v>0</v>
      </c>
      <c r="M100" s="252">
        <f>SUM(M17:M99)</f>
        <v>0</v>
      </c>
      <c r="N100" s="252">
        <f>SUM(N17:N99)</f>
        <v>0</v>
      </c>
      <c r="O100" s="252">
        <f>SUM(O17:O99)</f>
        <v>0</v>
      </c>
      <c r="P100" s="254">
        <f>SUM(M100:O100)</f>
        <v>0</v>
      </c>
    </row>
    <row r="101" spans="1:16" s="28" customFormat="1" ht="16.5">
      <c r="A101" s="355" t="s">
        <v>327</v>
      </c>
      <c r="B101" s="343"/>
      <c r="C101" s="343"/>
      <c r="D101" s="343"/>
      <c r="E101" s="343"/>
      <c r="F101" s="343"/>
      <c r="G101" s="343"/>
      <c r="H101" s="343"/>
      <c r="I101" s="343"/>
      <c r="J101" s="343"/>
      <c r="K101" s="343"/>
      <c r="L101" s="74"/>
      <c r="M101" s="74"/>
      <c r="N101" s="218">
        <f>ROUND(N100*0.07,2)</f>
        <v>0</v>
      </c>
      <c r="O101" s="74"/>
      <c r="P101" s="255">
        <f>SUM(M101:O101)</f>
        <v>0</v>
      </c>
    </row>
    <row r="102" spans="1:16" s="78" customFormat="1" ht="17.25" thickBot="1">
      <c r="A102" s="356" t="s">
        <v>36</v>
      </c>
      <c r="B102" s="357"/>
      <c r="C102" s="357"/>
      <c r="D102" s="357"/>
      <c r="E102" s="357"/>
      <c r="F102" s="357"/>
      <c r="G102" s="357"/>
      <c r="H102" s="357"/>
      <c r="I102" s="357"/>
      <c r="J102" s="357"/>
      <c r="K102" s="357"/>
      <c r="L102" s="256">
        <f>SUM(L100:L101)</f>
        <v>0</v>
      </c>
      <c r="M102" s="256">
        <f>SUM(M100:M101)</f>
        <v>0</v>
      </c>
      <c r="N102" s="256">
        <f>SUM(N100:N101)</f>
        <v>0</v>
      </c>
      <c r="O102" s="256">
        <f>SUM(O100:O101)</f>
        <v>0</v>
      </c>
      <c r="P102" s="257">
        <f>SUM(M102:O102)</f>
        <v>0</v>
      </c>
    </row>
    <row r="103" spans="1:15" s="82" customFormat="1" ht="16.5">
      <c r="A103" s="79"/>
      <c r="B103" s="79"/>
      <c r="C103" s="80"/>
      <c r="D103" s="81"/>
      <c r="E103" s="81"/>
      <c r="F103" s="81"/>
      <c r="G103" s="81"/>
      <c r="H103" s="81"/>
      <c r="I103" s="81"/>
      <c r="J103" s="81"/>
      <c r="K103" s="81"/>
      <c r="L103" s="80"/>
      <c r="M103" s="80"/>
      <c r="N103" s="80"/>
      <c r="O103" s="80"/>
    </row>
    <row r="104" spans="1:15" s="82" customFormat="1" ht="16.5">
      <c r="A104" s="79"/>
      <c r="B104" s="79"/>
      <c r="C104" s="80"/>
      <c r="D104" s="81"/>
      <c r="E104" s="81"/>
      <c r="F104" s="81"/>
      <c r="G104" s="81"/>
      <c r="H104" s="81"/>
      <c r="I104" s="81"/>
      <c r="J104" s="81"/>
      <c r="K104" s="81"/>
      <c r="L104" s="80"/>
      <c r="M104" s="80"/>
      <c r="N104" s="80"/>
      <c r="O104" s="80"/>
    </row>
    <row r="105" spans="1:15" s="82" customFormat="1" ht="16.5">
      <c r="A105" s="350" t="s">
        <v>310</v>
      </c>
      <c r="B105" s="350"/>
      <c r="C105" s="350"/>
      <c r="D105" s="350"/>
      <c r="E105" s="350"/>
      <c r="F105" s="350"/>
      <c r="G105" s="350"/>
      <c r="H105" s="80"/>
      <c r="I105" s="351" t="s">
        <v>37</v>
      </c>
      <c r="J105" s="351"/>
      <c r="K105" s="351"/>
      <c r="L105" s="351"/>
      <c r="M105" s="351"/>
      <c r="N105" s="351"/>
      <c r="O105" s="351"/>
    </row>
    <row r="106" spans="1:15" s="82" customFormat="1" ht="16.5">
      <c r="A106" s="352" t="s">
        <v>38</v>
      </c>
      <c r="B106" s="352"/>
      <c r="C106" s="352"/>
      <c r="D106" s="83"/>
      <c r="E106" s="83"/>
      <c r="F106" s="83"/>
      <c r="G106" s="83"/>
      <c r="H106" s="80"/>
      <c r="I106" s="353" t="s">
        <v>38</v>
      </c>
      <c r="J106" s="353"/>
      <c r="K106" s="353"/>
      <c r="L106" s="353"/>
      <c r="M106" s="353"/>
      <c r="N106" s="353"/>
      <c r="O106" s="353"/>
    </row>
    <row r="107" spans="1:16" s="259" customFormat="1" ht="16.5">
      <c r="A107" s="258"/>
      <c r="B107" s="258"/>
      <c r="D107" s="260"/>
      <c r="E107" s="260"/>
      <c r="F107" s="261"/>
      <c r="G107" s="261"/>
      <c r="H107" s="261"/>
      <c r="I107" s="261"/>
      <c r="J107" s="261"/>
      <c r="K107" s="261"/>
      <c r="L107" s="261"/>
      <c r="M107" s="261"/>
      <c r="N107" s="261"/>
      <c r="O107" s="261"/>
      <c r="P107" s="261"/>
    </row>
    <row r="108" spans="5:7" s="262" customFormat="1" ht="16.5">
      <c r="E108" s="263"/>
      <c r="G108" s="264"/>
    </row>
    <row r="109" spans="5:7" s="262" customFormat="1" ht="16.5">
      <c r="E109" s="263"/>
      <c r="G109" s="264"/>
    </row>
    <row r="110" spans="5:7" s="262" customFormat="1" ht="16.5">
      <c r="E110" s="263"/>
      <c r="G110" s="264"/>
    </row>
    <row r="111" spans="5:7" s="262" customFormat="1" ht="16.5">
      <c r="E111" s="263"/>
      <c r="G111" s="264"/>
    </row>
    <row r="112" spans="5:7" s="262" customFormat="1" ht="16.5">
      <c r="E112" s="263"/>
      <c r="G112" s="264"/>
    </row>
    <row r="113" spans="5:7" s="262" customFormat="1" ht="16.5">
      <c r="E113" s="263"/>
      <c r="G113" s="264"/>
    </row>
    <row r="114" spans="5:7" s="262" customFormat="1" ht="16.5">
      <c r="E114" s="263"/>
      <c r="G114" s="264"/>
    </row>
    <row r="115" spans="5:7" s="262" customFormat="1" ht="16.5">
      <c r="E115" s="263"/>
      <c r="G115" s="264"/>
    </row>
    <row r="116" spans="5:7" s="262" customFormat="1" ht="16.5">
      <c r="E116" s="263"/>
      <c r="G116" s="264"/>
    </row>
    <row r="117" spans="5:7" s="262" customFormat="1" ht="16.5">
      <c r="E117" s="263"/>
      <c r="G117" s="264"/>
    </row>
    <row r="118" spans="5:7" s="262" customFormat="1" ht="16.5">
      <c r="E118" s="263"/>
      <c r="G118" s="264"/>
    </row>
    <row r="119" spans="1:7" ht="16.5">
      <c r="A119" s="262"/>
      <c r="B119" s="262"/>
      <c r="C119" s="262"/>
      <c r="D119" s="262"/>
      <c r="E119" s="263"/>
      <c r="F119" s="262"/>
      <c r="G119" s="264"/>
    </row>
    <row r="120" spans="1:7" ht="16.5">
      <c r="A120" s="262"/>
      <c r="B120" s="262"/>
      <c r="C120" s="262"/>
      <c r="D120" s="262"/>
      <c r="E120" s="263"/>
      <c r="F120" s="262"/>
      <c r="G120" s="264"/>
    </row>
    <row r="121" spans="1:7" ht="16.5">
      <c r="A121" s="262"/>
      <c r="B121" s="262"/>
      <c r="C121" s="262"/>
      <c r="D121" s="262"/>
      <c r="E121" s="263"/>
      <c r="F121" s="262"/>
      <c r="G121" s="264"/>
    </row>
    <row r="122" spans="1:7" ht="16.5">
      <c r="A122" s="262"/>
      <c r="B122" s="262"/>
      <c r="C122" s="262"/>
      <c r="D122" s="262"/>
      <c r="E122" s="263"/>
      <c r="F122" s="262"/>
      <c r="G122" s="264"/>
    </row>
    <row r="123" spans="1:7" ht="16.5">
      <c r="A123" s="262"/>
      <c r="B123" s="262"/>
      <c r="C123" s="262"/>
      <c r="D123" s="262"/>
      <c r="E123" s="263"/>
      <c r="F123" s="262"/>
      <c r="G123" s="264"/>
    </row>
    <row r="124" spans="1:7" ht="16.5">
      <c r="A124" s="262"/>
      <c r="B124" s="262"/>
      <c r="C124" s="262"/>
      <c r="D124" s="262"/>
      <c r="E124" s="263"/>
      <c r="F124" s="262"/>
      <c r="G124" s="264"/>
    </row>
    <row r="125" spans="1:7" ht="16.5">
      <c r="A125" s="262"/>
      <c r="B125" s="262"/>
      <c r="C125" s="262"/>
      <c r="D125" s="262"/>
      <c r="E125" s="263"/>
      <c r="F125" s="262"/>
      <c r="G125" s="264"/>
    </row>
    <row r="126" spans="1:7" ht="16.5">
      <c r="A126" s="262"/>
      <c r="B126" s="262"/>
      <c r="C126" s="262"/>
      <c r="D126" s="262"/>
      <c r="E126" s="263"/>
      <c r="F126" s="262"/>
      <c r="G126" s="264"/>
    </row>
    <row r="127" spans="1:7" ht="16.5">
      <c r="A127" s="262"/>
      <c r="B127" s="262"/>
      <c r="C127" s="262"/>
      <c r="D127" s="262"/>
      <c r="E127" s="263"/>
      <c r="F127" s="262"/>
      <c r="G127" s="264"/>
    </row>
    <row r="128" spans="1:7" ht="16.5">
      <c r="A128" s="262"/>
      <c r="B128" s="262"/>
      <c r="C128" s="262"/>
      <c r="D128" s="262"/>
      <c r="E128" s="263"/>
      <c r="F128" s="262"/>
      <c r="G128" s="264"/>
    </row>
    <row r="129" spans="1:7" ht="16.5">
      <c r="A129" s="262"/>
      <c r="B129" s="262"/>
      <c r="C129" s="262"/>
      <c r="D129" s="262"/>
      <c r="E129" s="263"/>
      <c r="F129" s="262"/>
      <c r="G129" s="264"/>
    </row>
    <row r="130" spans="1:7" ht="16.5">
      <c r="A130" s="262"/>
      <c r="B130" s="262"/>
      <c r="C130" s="262"/>
      <c r="D130" s="262"/>
      <c r="E130" s="263"/>
      <c r="F130" s="262"/>
      <c r="G130" s="264"/>
    </row>
    <row r="131" spans="1:7" ht="16.5">
      <c r="A131" s="262"/>
      <c r="B131" s="262"/>
      <c r="C131" s="262"/>
      <c r="D131" s="262"/>
      <c r="E131" s="263"/>
      <c r="F131" s="262"/>
      <c r="G131" s="264"/>
    </row>
    <row r="132" spans="1:7" ht="16.5">
      <c r="A132" s="262"/>
      <c r="B132" s="262"/>
      <c r="C132" s="262"/>
      <c r="D132" s="262"/>
      <c r="E132" s="263"/>
      <c r="F132" s="262"/>
      <c r="G132" s="264"/>
    </row>
    <row r="133" spans="1:7" ht="16.5">
      <c r="A133" s="262"/>
      <c r="B133" s="262"/>
      <c r="C133" s="262"/>
      <c r="D133" s="262"/>
      <c r="E133" s="263"/>
      <c r="F133" s="262"/>
      <c r="G133" s="264"/>
    </row>
    <row r="134" spans="1:7" ht="16.5">
      <c r="A134" s="262"/>
      <c r="B134" s="262"/>
      <c r="C134" s="262"/>
      <c r="D134" s="262"/>
      <c r="E134" s="263"/>
      <c r="F134" s="262"/>
      <c r="G134" s="264"/>
    </row>
    <row r="135" spans="1:7" ht="16.5">
      <c r="A135" s="262"/>
      <c r="B135" s="262"/>
      <c r="C135" s="262"/>
      <c r="D135" s="262"/>
      <c r="E135" s="263"/>
      <c r="F135" s="262"/>
      <c r="G135" s="264"/>
    </row>
    <row r="136" spans="1:7" ht="16.5">
      <c r="A136" s="262"/>
      <c r="B136" s="262"/>
      <c r="C136" s="262"/>
      <c r="D136" s="262"/>
      <c r="E136" s="263"/>
      <c r="F136" s="262"/>
      <c r="G136" s="264"/>
    </row>
    <row r="137" spans="1:7" ht="16.5">
      <c r="A137" s="262"/>
      <c r="B137" s="262"/>
      <c r="C137" s="262"/>
      <c r="D137" s="262"/>
      <c r="E137" s="263"/>
      <c r="F137" s="262"/>
      <c r="G137" s="264"/>
    </row>
    <row r="138" spans="1:7" ht="16.5">
      <c r="A138" s="262"/>
      <c r="B138" s="262"/>
      <c r="C138" s="262"/>
      <c r="D138" s="262"/>
      <c r="E138" s="263"/>
      <c r="F138" s="262"/>
      <c r="G138" s="264"/>
    </row>
    <row r="139" spans="1:7" ht="16.5">
      <c r="A139" s="262"/>
      <c r="B139" s="262"/>
      <c r="C139" s="262"/>
      <c r="D139" s="262"/>
      <c r="E139" s="263"/>
      <c r="F139" s="262"/>
      <c r="G139" s="264"/>
    </row>
    <row r="140" spans="1:7" ht="16.5">
      <c r="A140" s="262"/>
      <c r="B140" s="262"/>
      <c r="C140" s="262"/>
      <c r="D140" s="262"/>
      <c r="E140" s="263"/>
      <c r="F140" s="262"/>
      <c r="G140" s="264"/>
    </row>
    <row r="141" spans="1:7" ht="16.5">
      <c r="A141" s="262"/>
      <c r="B141" s="262"/>
      <c r="C141" s="262"/>
      <c r="D141" s="262"/>
      <c r="E141" s="263"/>
      <c r="F141" s="262"/>
      <c r="G141" s="264"/>
    </row>
    <row r="142" spans="1:7" ht="16.5">
      <c r="A142" s="262"/>
      <c r="B142" s="262"/>
      <c r="C142" s="262"/>
      <c r="D142" s="262"/>
      <c r="E142" s="263"/>
      <c r="F142" s="262"/>
      <c r="G142" s="264"/>
    </row>
    <row r="143" spans="1:7" ht="16.5">
      <c r="A143" s="262"/>
      <c r="B143" s="262"/>
      <c r="C143" s="262"/>
      <c r="D143" s="262"/>
      <c r="E143" s="263"/>
      <c r="F143" s="262"/>
      <c r="G143" s="264"/>
    </row>
    <row r="144" spans="1:7" ht="16.5">
      <c r="A144" s="262"/>
      <c r="B144" s="262"/>
      <c r="C144" s="262"/>
      <c r="D144" s="262"/>
      <c r="E144" s="263"/>
      <c r="F144" s="262"/>
      <c r="G144" s="264"/>
    </row>
    <row r="145" spans="1:7" ht="16.5">
      <c r="A145" s="262"/>
      <c r="B145" s="262"/>
      <c r="C145" s="262"/>
      <c r="D145" s="262"/>
      <c r="E145" s="263"/>
      <c r="F145" s="262"/>
      <c r="G145" s="264"/>
    </row>
    <row r="146" spans="1:7" ht="16.5">
      <c r="A146" s="262"/>
      <c r="B146" s="262"/>
      <c r="C146" s="262"/>
      <c r="D146" s="262"/>
      <c r="E146" s="263"/>
      <c r="F146" s="262"/>
      <c r="G146" s="264"/>
    </row>
    <row r="147" spans="1:7" ht="16.5">
      <c r="A147" s="262"/>
      <c r="B147" s="262"/>
      <c r="C147" s="262"/>
      <c r="D147" s="262"/>
      <c r="E147" s="263"/>
      <c r="F147" s="262"/>
      <c r="G147" s="264"/>
    </row>
    <row r="148" spans="1:7" ht="16.5">
      <c r="A148" s="262"/>
      <c r="B148" s="262"/>
      <c r="C148" s="262"/>
      <c r="D148" s="262"/>
      <c r="E148" s="263"/>
      <c r="F148" s="262"/>
      <c r="G148" s="264"/>
    </row>
    <row r="149" spans="1:7" ht="16.5">
      <c r="A149" s="262"/>
      <c r="B149" s="262"/>
      <c r="C149" s="262"/>
      <c r="D149" s="262"/>
      <c r="E149" s="263"/>
      <c r="F149" s="262"/>
      <c r="G149" s="264"/>
    </row>
    <row r="150" spans="1:7" ht="16.5">
      <c r="A150" s="262"/>
      <c r="B150" s="262"/>
      <c r="C150" s="262"/>
      <c r="D150" s="262"/>
      <c r="E150" s="263"/>
      <c r="F150" s="262"/>
      <c r="G150" s="264"/>
    </row>
    <row r="151" spans="1:7" ht="16.5">
      <c r="A151" s="262"/>
      <c r="B151" s="262"/>
      <c r="C151" s="262"/>
      <c r="D151" s="262"/>
      <c r="E151" s="263"/>
      <c r="F151" s="262"/>
      <c r="G151" s="264"/>
    </row>
    <row r="152" spans="1:7" ht="16.5">
      <c r="A152" s="262"/>
      <c r="B152" s="262"/>
      <c r="C152" s="262"/>
      <c r="D152" s="262"/>
      <c r="E152" s="263"/>
      <c r="F152" s="262"/>
      <c r="G152" s="264"/>
    </row>
    <row r="153" spans="1:7" ht="16.5">
      <c r="A153" s="262"/>
      <c r="B153" s="262"/>
      <c r="C153" s="262"/>
      <c r="D153" s="262"/>
      <c r="E153" s="263"/>
      <c r="F153" s="262"/>
      <c r="G153" s="264"/>
    </row>
    <row r="154" spans="1:7" ht="16.5">
      <c r="A154" s="262"/>
      <c r="B154" s="262"/>
      <c r="C154" s="262"/>
      <c r="D154" s="262"/>
      <c r="E154" s="263"/>
      <c r="F154" s="262"/>
      <c r="G154" s="264"/>
    </row>
    <row r="155" spans="1:7" ht="16.5">
      <c r="A155" s="262"/>
      <c r="B155" s="262"/>
      <c r="C155" s="262"/>
      <c r="D155" s="262"/>
      <c r="E155" s="263"/>
      <c r="F155" s="262"/>
      <c r="G155" s="264"/>
    </row>
    <row r="156" spans="1:7" ht="16.5">
      <c r="A156" s="262"/>
      <c r="B156" s="262"/>
      <c r="C156" s="262"/>
      <c r="D156" s="262"/>
      <c r="E156" s="263"/>
      <c r="F156" s="262"/>
      <c r="G156" s="264"/>
    </row>
    <row r="157" spans="1:7" ht="16.5">
      <c r="A157" s="262"/>
      <c r="B157" s="262"/>
      <c r="C157" s="262"/>
      <c r="D157" s="262"/>
      <c r="E157" s="263"/>
      <c r="F157" s="262"/>
      <c r="G157" s="264"/>
    </row>
    <row r="158" spans="1:7" ht="16.5">
      <c r="A158" s="262"/>
      <c r="B158" s="262"/>
      <c r="C158" s="262"/>
      <c r="D158" s="262"/>
      <c r="E158" s="263"/>
      <c r="F158" s="262"/>
      <c r="G158" s="264"/>
    </row>
    <row r="159" spans="1:7" ht="16.5">
      <c r="A159" s="262"/>
      <c r="B159" s="262"/>
      <c r="C159" s="262"/>
      <c r="D159" s="262"/>
      <c r="E159" s="263"/>
      <c r="F159" s="262"/>
      <c r="G159" s="264"/>
    </row>
    <row r="160" spans="1:7" ht="16.5">
      <c r="A160" s="262"/>
      <c r="B160" s="262"/>
      <c r="C160" s="262"/>
      <c r="D160" s="262"/>
      <c r="E160" s="263"/>
      <c r="F160" s="262"/>
      <c r="G160" s="264"/>
    </row>
    <row r="161" spans="1:7" ht="16.5">
      <c r="A161" s="262"/>
      <c r="B161" s="262"/>
      <c r="C161" s="262"/>
      <c r="D161" s="262"/>
      <c r="E161" s="263"/>
      <c r="F161" s="262"/>
      <c r="G161" s="264"/>
    </row>
    <row r="162" spans="1:7" ht="16.5">
      <c r="A162" s="262"/>
      <c r="B162" s="262"/>
      <c r="C162" s="262"/>
      <c r="D162" s="262"/>
      <c r="E162" s="263"/>
      <c r="F162" s="262"/>
      <c r="G162" s="264"/>
    </row>
    <row r="163" spans="1:7" ht="16.5">
      <c r="A163" s="262"/>
      <c r="B163" s="262"/>
      <c r="C163" s="262"/>
      <c r="D163" s="262"/>
      <c r="E163" s="263"/>
      <c r="F163" s="262"/>
      <c r="G163" s="264"/>
    </row>
  </sheetData>
  <sheetProtection/>
  <mergeCells count="29">
    <mergeCell ref="B14:B15"/>
    <mergeCell ref="C14:C15"/>
    <mergeCell ref="D14:D15"/>
    <mergeCell ref="A9:B9"/>
    <mergeCell ref="C9:P9"/>
    <mergeCell ref="A1:P1"/>
    <mergeCell ref="A2:P2"/>
    <mergeCell ref="A3:P3"/>
    <mergeCell ref="A5:C5"/>
    <mergeCell ref="D5:P5"/>
    <mergeCell ref="A12:D12"/>
    <mergeCell ref="A6:C6"/>
    <mergeCell ref="O10:P10"/>
    <mergeCell ref="A11:P11"/>
    <mergeCell ref="D6:P6"/>
    <mergeCell ref="A7:C7"/>
    <mergeCell ref="D7:P7"/>
    <mergeCell ref="A8:C8"/>
    <mergeCell ref="D8:P8"/>
    <mergeCell ref="A106:C106"/>
    <mergeCell ref="I106:O106"/>
    <mergeCell ref="F14:K14"/>
    <mergeCell ref="L14:P14"/>
    <mergeCell ref="A101:K101"/>
    <mergeCell ref="A102:K102"/>
    <mergeCell ref="A105:G105"/>
    <mergeCell ref="I105:O105"/>
    <mergeCell ref="E14:E15"/>
    <mergeCell ref="A14:A15"/>
  </mergeCells>
  <printOptions/>
  <pageMargins left="0.25" right="0.25" top="0.75" bottom="0.75" header="0.3" footer="0.3"/>
  <pageSetup horizontalDpi="600" verticalDpi="600" orientation="landscape" scale="76" r:id="rId1"/>
</worksheet>
</file>

<file path=xl/worksheets/sheet5.xml><?xml version="1.0" encoding="utf-8"?>
<worksheet xmlns="http://schemas.openxmlformats.org/spreadsheetml/2006/main" xmlns:r="http://schemas.openxmlformats.org/officeDocument/2006/relationships">
  <dimension ref="A1:P74"/>
  <sheetViews>
    <sheetView showZeros="0" zoomScalePageLayoutView="0" workbookViewId="0" topLeftCell="A1">
      <selection activeCell="C9" sqref="C9:P9"/>
    </sheetView>
  </sheetViews>
  <sheetFormatPr defaultColWidth="8.8515625" defaultRowHeight="15"/>
  <cols>
    <col min="1" max="1" width="4.8515625" style="84" customWidth="1"/>
    <col min="2" max="2" width="5.28125" style="84" customWidth="1"/>
    <col min="3" max="3" width="42.8515625" style="84" customWidth="1"/>
    <col min="4" max="4" width="7.7109375" style="84" customWidth="1"/>
    <col min="5" max="5" width="8.421875" style="85" customWidth="1"/>
    <col min="6" max="6" width="9.28125" style="84" customWidth="1"/>
    <col min="7" max="7" width="9.140625" style="86" customWidth="1"/>
    <col min="8" max="11" width="9.140625" style="84" customWidth="1"/>
    <col min="12" max="15" width="8.8515625" style="84" customWidth="1"/>
    <col min="16" max="16" width="10.00390625" style="84" customWidth="1"/>
    <col min="17" max="219" width="9.140625" style="84" customWidth="1"/>
    <col min="220" max="240" width="7.140625" style="84" customWidth="1"/>
    <col min="241" max="241" width="5.7109375" style="84" customWidth="1"/>
    <col min="242" max="242" width="5.28125" style="84" customWidth="1"/>
    <col min="243" max="243" width="39.8515625" style="84" customWidth="1"/>
    <col min="244" max="244" width="7.7109375" style="84" customWidth="1"/>
    <col min="245" max="245" width="8.421875" style="84" customWidth="1"/>
    <col min="246" max="246" width="9.28125" style="84" customWidth="1"/>
    <col min="247" max="251" width="9.140625" style="84" customWidth="1"/>
    <col min="252" max="16384" width="8.8515625" style="84" customWidth="1"/>
  </cols>
  <sheetData>
    <row r="1" spans="1:16" s="1" customFormat="1" ht="18">
      <c r="A1" s="337" t="s">
        <v>0</v>
      </c>
      <c r="B1" s="337"/>
      <c r="C1" s="337"/>
      <c r="D1" s="337"/>
      <c r="E1" s="337"/>
      <c r="F1" s="337"/>
      <c r="G1" s="337"/>
      <c r="H1" s="337"/>
      <c r="I1" s="337"/>
      <c r="J1" s="337"/>
      <c r="K1" s="337"/>
      <c r="L1" s="337"/>
      <c r="M1" s="337"/>
      <c r="N1" s="337"/>
      <c r="O1" s="337"/>
      <c r="P1" s="337"/>
    </row>
    <row r="2" spans="1:16" s="2" customFormat="1" ht="18">
      <c r="A2" s="338" t="s">
        <v>48</v>
      </c>
      <c r="B2" s="338"/>
      <c r="C2" s="338"/>
      <c r="D2" s="338"/>
      <c r="E2" s="338"/>
      <c r="F2" s="338"/>
      <c r="G2" s="338"/>
      <c r="H2" s="338"/>
      <c r="I2" s="338"/>
      <c r="J2" s="338"/>
      <c r="K2" s="338"/>
      <c r="L2" s="338"/>
      <c r="M2" s="338"/>
      <c r="N2" s="338"/>
      <c r="O2" s="338"/>
      <c r="P2" s="338"/>
    </row>
    <row r="3" spans="1:16" s="3" customFormat="1" ht="12.75">
      <c r="A3" s="339" t="s">
        <v>2</v>
      </c>
      <c r="B3" s="339"/>
      <c r="C3" s="339"/>
      <c r="D3" s="339"/>
      <c r="E3" s="339"/>
      <c r="F3" s="339"/>
      <c r="G3" s="339"/>
      <c r="H3" s="339"/>
      <c r="I3" s="339"/>
      <c r="J3" s="339"/>
      <c r="K3" s="339"/>
      <c r="L3" s="339"/>
      <c r="M3" s="339"/>
      <c r="N3" s="339"/>
      <c r="O3" s="339"/>
      <c r="P3" s="339"/>
    </row>
    <row r="4" spans="1:16" s="9" customFormat="1" ht="15.75">
      <c r="A4" s="4"/>
      <c r="B4" s="5"/>
      <c r="C4" s="6"/>
      <c r="D4" s="7"/>
      <c r="E4" s="5"/>
      <c r="F4" s="4"/>
      <c r="G4" s="4"/>
      <c r="H4" s="4"/>
      <c r="I4" s="4"/>
      <c r="J4" s="4"/>
      <c r="K4" s="4"/>
      <c r="L4" s="4"/>
      <c r="M4" s="8"/>
      <c r="N4" s="8"/>
      <c r="O4" s="8"/>
      <c r="P4" s="8"/>
    </row>
    <row r="5" spans="1:16" s="217" customFormat="1" ht="14.25" customHeight="1">
      <c r="A5" s="340" t="s">
        <v>3</v>
      </c>
      <c r="B5" s="340"/>
      <c r="C5" s="340"/>
      <c r="D5" s="341" t="s">
        <v>359</v>
      </c>
      <c r="E5" s="341"/>
      <c r="F5" s="341"/>
      <c r="G5" s="341"/>
      <c r="H5" s="341"/>
      <c r="I5" s="341"/>
      <c r="J5" s="341"/>
      <c r="K5" s="341"/>
      <c r="L5" s="341"/>
      <c r="M5" s="341"/>
      <c r="N5" s="341"/>
      <c r="O5" s="341"/>
      <c r="P5" s="341"/>
    </row>
    <row r="6" spans="1:16" s="217" customFormat="1" ht="14.25" customHeight="1">
      <c r="A6" s="340" t="s">
        <v>4</v>
      </c>
      <c r="B6" s="340"/>
      <c r="C6" s="340"/>
      <c r="D6" s="341" t="s">
        <v>360</v>
      </c>
      <c r="E6" s="341"/>
      <c r="F6" s="341"/>
      <c r="G6" s="341"/>
      <c r="H6" s="341"/>
      <c r="I6" s="341"/>
      <c r="J6" s="341"/>
      <c r="K6" s="341"/>
      <c r="L6" s="341"/>
      <c r="M6" s="341"/>
      <c r="N6" s="341"/>
      <c r="O6" s="341"/>
      <c r="P6" s="341"/>
    </row>
    <row r="7" spans="1:16" s="217" customFormat="1" ht="16.5">
      <c r="A7" s="335" t="s">
        <v>5</v>
      </c>
      <c r="B7" s="335"/>
      <c r="C7" s="335"/>
      <c r="D7" s="341" t="s">
        <v>197</v>
      </c>
      <c r="E7" s="341"/>
      <c r="F7" s="341"/>
      <c r="G7" s="341"/>
      <c r="H7" s="341"/>
      <c r="I7" s="341"/>
      <c r="J7" s="341"/>
      <c r="K7" s="341"/>
      <c r="L7" s="341"/>
      <c r="M7" s="341"/>
      <c r="N7" s="341"/>
      <c r="O7" s="341"/>
      <c r="P7" s="341"/>
    </row>
    <row r="8" spans="1:16" s="217" customFormat="1" ht="16.5" customHeight="1">
      <c r="A8" s="335" t="s">
        <v>6</v>
      </c>
      <c r="B8" s="335"/>
      <c r="C8" s="335"/>
      <c r="D8" s="342" t="s">
        <v>198</v>
      </c>
      <c r="E8" s="342"/>
      <c r="F8" s="342"/>
      <c r="G8" s="342"/>
      <c r="H8" s="342"/>
      <c r="I8" s="342"/>
      <c r="J8" s="342"/>
      <c r="K8" s="342"/>
      <c r="L8" s="342"/>
      <c r="M8" s="342"/>
      <c r="N8" s="342"/>
      <c r="O8" s="342"/>
      <c r="P8" s="342"/>
    </row>
    <row r="9" spans="1:16" s="16" customFormat="1" ht="58.5" customHeight="1">
      <c r="A9" s="362" t="s">
        <v>314</v>
      </c>
      <c r="B9" s="362"/>
      <c r="C9" s="362" t="s">
        <v>315</v>
      </c>
      <c r="D9" s="362"/>
      <c r="E9" s="362"/>
      <c r="F9" s="362"/>
      <c r="G9" s="362"/>
      <c r="H9" s="362"/>
      <c r="I9" s="362"/>
      <c r="J9" s="362"/>
      <c r="K9" s="362"/>
      <c r="L9" s="362"/>
      <c r="M9" s="362"/>
      <c r="N9" s="362"/>
      <c r="O9" s="362"/>
      <c r="P9" s="362"/>
    </row>
    <row r="10" spans="1:16" s="16" customFormat="1" ht="16.5">
      <c r="A10" s="17" t="s">
        <v>312</v>
      </c>
      <c r="B10" s="17"/>
      <c r="C10" s="17"/>
      <c r="D10" s="17"/>
      <c r="E10" s="17"/>
      <c r="F10" s="12"/>
      <c r="G10" s="12"/>
      <c r="H10" s="12"/>
      <c r="I10" s="12"/>
      <c r="J10" s="12"/>
      <c r="K10" s="12"/>
      <c r="L10" s="18"/>
      <c r="M10" s="18" t="s">
        <v>7</v>
      </c>
      <c r="N10" s="19"/>
      <c r="O10" s="336">
        <f>P70</f>
        <v>0</v>
      </c>
      <c r="P10" s="336"/>
    </row>
    <row r="11" spans="1:16" s="11" customFormat="1" ht="16.5">
      <c r="A11" s="345" t="s">
        <v>313</v>
      </c>
      <c r="B11" s="345"/>
      <c r="C11" s="345"/>
      <c r="D11" s="345"/>
      <c r="E11" s="345"/>
      <c r="F11" s="345"/>
      <c r="G11" s="345"/>
      <c r="H11" s="345"/>
      <c r="I11" s="345"/>
      <c r="J11" s="345"/>
      <c r="K11" s="345"/>
      <c r="L11" s="345"/>
      <c r="M11" s="345"/>
      <c r="N11" s="345"/>
      <c r="O11" s="345"/>
      <c r="P11" s="345"/>
    </row>
    <row r="12" spans="1:16" s="11" customFormat="1" ht="16.5" hidden="1">
      <c r="A12" s="346"/>
      <c r="B12" s="346"/>
      <c r="C12" s="346"/>
      <c r="D12" s="346"/>
      <c r="E12" s="20"/>
      <c r="F12" s="21"/>
      <c r="G12" s="21"/>
      <c r="H12" s="21"/>
      <c r="I12" s="21">
        <v>3</v>
      </c>
      <c r="J12" s="21"/>
      <c r="K12" s="21"/>
      <c r="L12" s="21"/>
      <c r="M12" s="22"/>
      <c r="N12" s="22"/>
      <c r="O12" s="22"/>
      <c r="P12" s="23"/>
    </row>
    <row r="13" spans="1:16" s="28" customFormat="1" ht="9" customHeight="1">
      <c r="A13" s="24"/>
      <c r="B13" s="24"/>
      <c r="C13" s="25"/>
      <c r="D13" s="25"/>
      <c r="E13" s="26"/>
      <c r="F13" s="24"/>
      <c r="G13" s="24"/>
      <c r="H13" s="24"/>
      <c r="I13" s="24"/>
      <c r="J13" s="24"/>
      <c r="K13" s="24"/>
      <c r="L13" s="24"/>
      <c r="M13" s="27"/>
      <c r="N13" s="27"/>
      <c r="O13" s="27"/>
      <c r="P13" s="27"/>
    </row>
    <row r="14" spans="1:16" s="31" customFormat="1" ht="12.75">
      <c r="A14" s="344" t="s">
        <v>74</v>
      </c>
      <c r="B14" s="344" t="s">
        <v>9</v>
      </c>
      <c r="C14" s="347" t="s">
        <v>10</v>
      </c>
      <c r="D14" s="344" t="s">
        <v>11</v>
      </c>
      <c r="E14" s="344" t="s">
        <v>12</v>
      </c>
      <c r="F14" s="344" t="s">
        <v>13</v>
      </c>
      <c r="G14" s="344"/>
      <c r="H14" s="344"/>
      <c r="I14" s="344"/>
      <c r="J14" s="344"/>
      <c r="K14" s="344"/>
      <c r="L14" s="344" t="s">
        <v>325</v>
      </c>
      <c r="M14" s="344"/>
      <c r="N14" s="344"/>
      <c r="O14" s="344"/>
      <c r="P14" s="344"/>
    </row>
    <row r="15" spans="1:16" s="31" customFormat="1" ht="51">
      <c r="A15" s="344"/>
      <c r="B15" s="344"/>
      <c r="C15" s="347"/>
      <c r="D15" s="344"/>
      <c r="E15" s="344"/>
      <c r="F15" s="29" t="s">
        <v>14</v>
      </c>
      <c r="G15" s="29" t="s">
        <v>344</v>
      </c>
      <c r="H15" s="29" t="s">
        <v>317</v>
      </c>
      <c r="I15" s="29" t="s">
        <v>318</v>
      </c>
      <c r="J15" s="29" t="s">
        <v>319</v>
      </c>
      <c r="K15" s="29" t="s">
        <v>320</v>
      </c>
      <c r="L15" s="29" t="s">
        <v>16</v>
      </c>
      <c r="M15" s="29" t="s">
        <v>321</v>
      </c>
      <c r="N15" s="29" t="s">
        <v>322</v>
      </c>
      <c r="O15" s="29" t="s">
        <v>323</v>
      </c>
      <c r="P15" s="29" t="s">
        <v>324</v>
      </c>
    </row>
    <row r="16" spans="1:16" s="31" customFormat="1" ht="12.75">
      <c r="A16" s="92">
        <v>1</v>
      </c>
      <c r="B16" s="92"/>
      <c r="C16" s="93">
        <v>2</v>
      </c>
      <c r="D16" s="92">
        <v>3</v>
      </c>
      <c r="E16" s="92">
        <v>4</v>
      </c>
      <c r="F16" s="92">
        <v>5</v>
      </c>
      <c r="G16" s="92">
        <v>6</v>
      </c>
      <c r="H16" s="92">
        <v>7</v>
      </c>
      <c r="I16" s="92">
        <v>8</v>
      </c>
      <c r="J16" s="92">
        <v>9</v>
      </c>
      <c r="K16" s="92">
        <v>10</v>
      </c>
      <c r="L16" s="92">
        <v>11</v>
      </c>
      <c r="M16" s="92">
        <v>12</v>
      </c>
      <c r="N16" s="92">
        <v>13</v>
      </c>
      <c r="O16" s="92">
        <v>14</v>
      </c>
      <c r="P16" s="92">
        <v>15</v>
      </c>
    </row>
    <row r="17" spans="1:16" s="101" customFormat="1" ht="16.5">
      <c r="A17" s="107"/>
      <c r="B17" s="100"/>
      <c r="C17" s="33" t="s">
        <v>129</v>
      </c>
      <c r="D17" s="100"/>
      <c r="E17" s="115"/>
      <c r="F17" s="115"/>
      <c r="G17" s="115"/>
      <c r="H17" s="98">
        <f>ROUND(F17*G17,2)</f>
        <v>0</v>
      </c>
      <c r="I17" s="115"/>
      <c r="J17" s="115"/>
      <c r="K17" s="105">
        <f>SUM(H17:J17)</f>
        <v>0</v>
      </c>
      <c r="L17" s="98">
        <f>ROUND(E17*F17,2)</f>
        <v>0</v>
      </c>
      <c r="M17" s="98">
        <f>ROUND(E17*H17,2)</f>
        <v>0</v>
      </c>
      <c r="N17" s="98">
        <f>ROUND(E17*I17,2)</f>
        <v>0</v>
      </c>
      <c r="O17" s="98">
        <f>ROUND(E17*J17,2)</f>
        <v>0</v>
      </c>
      <c r="P17" s="105">
        <f>SUM(M17:O17)</f>
        <v>0</v>
      </c>
    </row>
    <row r="18" spans="1:16" s="106" customFormat="1" ht="16.5">
      <c r="A18" s="107">
        <v>1</v>
      </c>
      <c r="B18" s="107"/>
      <c r="C18" s="112" t="s">
        <v>51</v>
      </c>
      <c r="D18" s="107" t="s">
        <v>17</v>
      </c>
      <c r="E18" s="110">
        <v>306.2</v>
      </c>
      <c r="F18" s="108"/>
      <c r="G18" s="108"/>
      <c r="H18" s="108"/>
      <c r="I18" s="111"/>
      <c r="J18" s="235"/>
      <c r="K18" s="109"/>
      <c r="L18" s="108"/>
      <c r="M18" s="108"/>
      <c r="N18" s="108"/>
      <c r="O18" s="108"/>
      <c r="P18" s="109"/>
    </row>
    <row r="19" spans="1:16" s="106" customFormat="1" ht="148.5">
      <c r="A19" s="107">
        <f>A17+1</f>
        <v>1</v>
      </c>
      <c r="B19" s="107"/>
      <c r="C19" s="112" t="s">
        <v>286</v>
      </c>
      <c r="D19" s="107" t="s">
        <v>17</v>
      </c>
      <c r="E19" s="110">
        <f>1.49*2.19*7</f>
        <v>22.8417</v>
      </c>
      <c r="F19" s="108"/>
      <c r="G19" s="108"/>
      <c r="H19" s="108"/>
      <c r="I19" s="108"/>
      <c r="J19" s="235"/>
      <c r="K19" s="109"/>
      <c r="L19" s="108"/>
      <c r="M19" s="108"/>
      <c r="N19" s="108"/>
      <c r="O19" s="108"/>
      <c r="P19" s="109"/>
    </row>
    <row r="20" spans="1:16" s="106" customFormat="1" ht="148.5">
      <c r="A20" s="107">
        <f>A18+1</f>
        <v>2</v>
      </c>
      <c r="B20" s="107"/>
      <c r="C20" s="112" t="s">
        <v>287</v>
      </c>
      <c r="D20" s="107" t="s">
        <v>17</v>
      </c>
      <c r="E20" s="110">
        <f>2.54*1.75*20</f>
        <v>88.9</v>
      </c>
      <c r="F20" s="108"/>
      <c r="G20" s="108"/>
      <c r="H20" s="108"/>
      <c r="I20" s="108"/>
      <c r="J20" s="235"/>
      <c r="K20" s="109"/>
      <c r="L20" s="108"/>
      <c r="M20" s="108"/>
      <c r="N20" s="108"/>
      <c r="O20" s="108"/>
      <c r="P20" s="109"/>
    </row>
    <row r="21" spans="1:16" s="106" customFormat="1" ht="148.5">
      <c r="A21" s="107">
        <f>A20+1</f>
        <v>3</v>
      </c>
      <c r="B21" s="107"/>
      <c r="C21" s="112" t="s">
        <v>288</v>
      </c>
      <c r="D21" s="107" t="s">
        <v>17</v>
      </c>
      <c r="E21" s="110">
        <f>1.19*1.77*9</f>
        <v>18.9567</v>
      </c>
      <c r="F21" s="108"/>
      <c r="G21" s="108"/>
      <c r="H21" s="108"/>
      <c r="I21" s="108"/>
      <c r="J21" s="235"/>
      <c r="K21" s="109"/>
      <c r="L21" s="108"/>
      <c r="M21" s="108"/>
      <c r="N21" s="108"/>
      <c r="O21" s="108"/>
      <c r="P21" s="109"/>
    </row>
    <row r="22" spans="1:16" s="106" customFormat="1" ht="165">
      <c r="A22" s="107">
        <f>A21+1</f>
        <v>4</v>
      </c>
      <c r="B22" s="221"/>
      <c r="C22" s="308" t="s">
        <v>289</v>
      </c>
      <c r="D22" s="221" t="s">
        <v>17</v>
      </c>
      <c r="E22" s="222">
        <f>1.05*1.7*9</f>
        <v>16.064999999999998</v>
      </c>
      <c r="F22" s="108"/>
      <c r="G22" s="108"/>
      <c r="H22" s="108"/>
      <c r="I22" s="223"/>
      <c r="J22" s="236"/>
      <c r="K22" s="109"/>
      <c r="L22" s="108"/>
      <c r="M22" s="108"/>
      <c r="N22" s="108"/>
      <c r="O22" s="108"/>
      <c r="P22" s="109"/>
    </row>
    <row r="23" spans="1:16" s="106" customFormat="1" ht="165">
      <c r="A23" s="107">
        <f>A22+1</f>
        <v>5</v>
      </c>
      <c r="B23" s="102"/>
      <c r="C23" s="103" t="s">
        <v>290</v>
      </c>
      <c r="D23" s="102" t="s">
        <v>17</v>
      </c>
      <c r="E23" s="104">
        <f>1.33*8.4</f>
        <v>11.172</v>
      </c>
      <c r="F23" s="108"/>
      <c r="G23" s="108"/>
      <c r="H23" s="108"/>
      <c r="I23" s="98"/>
      <c r="J23" s="237"/>
      <c r="K23" s="109"/>
      <c r="L23" s="108"/>
      <c r="M23" s="108"/>
      <c r="N23" s="108"/>
      <c r="O23" s="108"/>
      <c r="P23" s="109"/>
    </row>
    <row r="24" spans="1:16" s="106" customFormat="1" ht="148.5">
      <c r="A24" s="107">
        <f>A22+1</f>
        <v>5</v>
      </c>
      <c r="B24" s="107"/>
      <c r="C24" s="112" t="s">
        <v>291</v>
      </c>
      <c r="D24" s="107" t="s">
        <v>17</v>
      </c>
      <c r="E24" s="110">
        <f>1.65*3.2*7</f>
        <v>36.96</v>
      </c>
      <c r="F24" s="108"/>
      <c r="G24" s="108"/>
      <c r="H24" s="108"/>
      <c r="I24" s="108"/>
      <c r="J24" s="235"/>
      <c r="K24" s="109"/>
      <c r="L24" s="108"/>
      <c r="M24" s="108"/>
      <c r="N24" s="108"/>
      <c r="O24" s="108"/>
      <c r="P24" s="109"/>
    </row>
    <row r="25" spans="1:16" s="106" customFormat="1" ht="165">
      <c r="A25" s="107">
        <f>A23+1</f>
        <v>6</v>
      </c>
      <c r="B25" s="102"/>
      <c r="C25" s="103" t="s">
        <v>292</v>
      </c>
      <c r="D25" s="102" t="s">
        <v>17</v>
      </c>
      <c r="E25" s="104">
        <f>6*1.94*4.42</f>
        <v>51.4488</v>
      </c>
      <c r="F25" s="108"/>
      <c r="G25" s="98"/>
      <c r="H25" s="98"/>
      <c r="I25" s="98"/>
      <c r="J25" s="237"/>
      <c r="K25" s="109"/>
      <c r="L25" s="108"/>
      <c r="M25" s="108"/>
      <c r="N25" s="108"/>
      <c r="O25" s="108"/>
      <c r="P25" s="109"/>
    </row>
    <row r="26" spans="1:16" s="106" customFormat="1" ht="165">
      <c r="A26" s="107">
        <f aca="true" t="shared" si="0" ref="A26:A34">A25+1</f>
        <v>7</v>
      </c>
      <c r="B26" s="221"/>
      <c r="C26" s="308" t="s">
        <v>293</v>
      </c>
      <c r="D26" s="221" t="s">
        <v>17</v>
      </c>
      <c r="E26" s="222">
        <f>1.453*0.8</f>
        <v>1.1624</v>
      </c>
      <c r="F26" s="108"/>
      <c r="G26" s="108"/>
      <c r="H26" s="108"/>
      <c r="I26" s="223"/>
      <c r="J26" s="236"/>
      <c r="K26" s="109"/>
      <c r="L26" s="108"/>
      <c r="M26" s="108"/>
      <c r="N26" s="108"/>
      <c r="O26" s="108"/>
      <c r="P26" s="109"/>
    </row>
    <row r="27" spans="1:16" s="106" customFormat="1" ht="165">
      <c r="A27" s="107">
        <f t="shared" si="0"/>
        <v>8</v>
      </c>
      <c r="B27" s="221"/>
      <c r="C27" s="308" t="s">
        <v>294</v>
      </c>
      <c r="D27" s="221" t="s">
        <v>17</v>
      </c>
      <c r="E27" s="222">
        <f>1.35*0.78*3</f>
        <v>3.1590000000000007</v>
      </c>
      <c r="F27" s="108"/>
      <c r="G27" s="108"/>
      <c r="H27" s="108"/>
      <c r="I27" s="223"/>
      <c r="J27" s="236"/>
      <c r="K27" s="109"/>
      <c r="L27" s="108"/>
      <c r="M27" s="108"/>
      <c r="N27" s="108"/>
      <c r="O27" s="108"/>
      <c r="P27" s="109"/>
    </row>
    <row r="28" spans="1:16" s="106" customFormat="1" ht="165">
      <c r="A28" s="107">
        <f t="shared" si="0"/>
        <v>9</v>
      </c>
      <c r="B28" s="102"/>
      <c r="C28" s="103" t="s">
        <v>295</v>
      </c>
      <c r="D28" s="102" t="s">
        <v>17</v>
      </c>
      <c r="E28" s="104">
        <f>1.48*0.8*5</f>
        <v>5.92</v>
      </c>
      <c r="F28" s="108"/>
      <c r="G28" s="98"/>
      <c r="H28" s="98"/>
      <c r="I28" s="98"/>
      <c r="J28" s="237"/>
      <c r="K28" s="109"/>
      <c r="L28" s="108"/>
      <c r="M28" s="108"/>
      <c r="N28" s="108"/>
      <c r="O28" s="108"/>
      <c r="P28" s="109"/>
    </row>
    <row r="29" spans="1:16" s="106" customFormat="1" ht="165">
      <c r="A29" s="107">
        <f t="shared" si="0"/>
        <v>10</v>
      </c>
      <c r="B29" s="102"/>
      <c r="C29" s="103" t="s">
        <v>296</v>
      </c>
      <c r="D29" s="102" t="s">
        <v>17</v>
      </c>
      <c r="E29" s="104">
        <f>1.32*0.82*5</f>
        <v>5.412</v>
      </c>
      <c r="F29" s="108"/>
      <c r="G29" s="98"/>
      <c r="H29" s="98"/>
      <c r="I29" s="98"/>
      <c r="J29" s="237"/>
      <c r="K29" s="109"/>
      <c r="L29" s="108"/>
      <c r="M29" s="108"/>
      <c r="N29" s="108"/>
      <c r="O29" s="108"/>
      <c r="P29" s="109"/>
    </row>
    <row r="30" spans="1:16" s="106" customFormat="1" ht="165">
      <c r="A30" s="107">
        <f t="shared" si="0"/>
        <v>11</v>
      </c>
      <c r="B30" s="102"/>
      <c r="C30" s="103" t="s">
        <v>297</v>
      </c>
      <c r="D30" s="102" t="s">
        <v>17</v>
      </c>
      <c r="E30" s="104">
        <f>1.3*1.5</f>
        <v>1.9500000000000002</v>
      </c>
      <c r="F30" s="108"/>
      <c r="G30" s="98"/>
      <c r="H30" s="98"/>
      <c r="I30" s="98"/>
      <c r="J30" s="237"/>
      <c r="K30" s="109"/>
      <c r="L30" s="108"/>
      <c r="M30" s="108"/>
      <c r="N30" s="108"/>
      <c r="O30" s="108"/>
      <c r="P30" s="109"/>
    </row>
    <row r="31" spans="1:16" s="106" customFormat="1" ht="165">
      <c r="A31" s="107">
        <f t="shared" si="0"/>
        <v>12</v>
      </c>
      <c r="B31" s="102"/>
      <c r="C31" s="103" t="s">
        <v>328</v>
      </c>
      <c r="D31" s="102" t="s">
        <v>17</v>
      </c>
      <c r="E31" s="104">
        <v>33.83</v>
      </c>
      <c r="F31" s="108"/>
      <c r="G31" s="98"/>
      <c r="H31" s="98"/>
      <c r="I31" s="98"/>
      <c r="J31" s="237"/>
      <c r="K31" s="109"/>
      <c r="L31" s="108"/>
      <c r="M31" s="108"/>
      <c r="N31" s="108"/>
      <c r="O31" s="108"/>
      <c r="P31" s="109"/>
    </row>
    <row r="32" spans="1:16" s="106" customFormat="1" ht="165">
      <c r="A32" s="107">
        <f t="shared" si="0"/>
        <v>13</v>
      </c>
      <c r="B32" s="102"/>
      <c r="C32" s="103" t="s">
        <v>329</v>
      </c>
      <c r="D32" s="102" t="s">
        <v>17</v>
      </c>
      <c r="E32" s="104">
        <v>8.42</v>
      </c>
      <c r="F32" s="108"/>
      <c r="G32" s="98"/>
      <c r="H32" s="98"/>
      <c r="I32" s="98"/>
      <c r="J32" s="237"/>
      <c r="K32" s="109"/>
      <c r="L32" s="108"/>
      <c r="M32" s="108"/>
      <c r="N32" s="108"/>
      <c r="O32" s="108"/>
      <c r="P32" s="109"/>
    </row>
    <row r="33" spans="1:16" s="106" customFormat="1" ht="66">
      <c r="A33" s="107">
        <f>A30+1</f>
        <v>12</v>
      </c>
      <c r="B33" s="102"/>
      <c r="C33" s="103" t="s">
        <v>298</v>
      </c>
      <c r="D33" s="102" t="s">
        <v>17</v>
      </c>
      <c r="E33" s="104">
        <f>1.29*0.8*6</f>
        <v>6.192</v>
      </c>
      <c r="F33" s="108"/>
      <c r="G33" s="98"/>
      <c r="H33" s="98"/>
      <c r="I33" s="98"/>
      <c r="J33" s="237"/>
      <c r="K33" s="109"/>
      <c r="L33" s="108"/>
      <c r="M33" s="108"/>
      <c r="N33" s="108"/>
      <c r="O33" s="108"/>
      <c r="P33" s="109"/>
    </row>
    <row r="34" spans="1:16" s="106" customFormat="1" ht="33">
      <c r="A34" s="107">
        <f t="shared" si="0"/>
        <v>13</v>
      </c>
      <c r="B34" s="107"/>
      <c r="C34" s="112" t="s">
        <v>162</v>
      </c>
      <c r="D34" s="107" t="s">
        <v>23</v>
      </c>
      <c r="E34" s="110">
        <v>390</v>
      </c>
      <c r="F34" s="108"/>
      <c r="G34" s="108"/>
      <c r="H34" s="98"/>
      <c r="I34" s="108"/>
      <c r="J34" s="235"/>
      <c r="K34" s="109"/>
      <c r="L34" s="108"/>
      <c r="M34" s="108"/>
      <c r="N34" s="108"/>
      <c r="O34" s="108"/>
      <c r="P34" s="109"/>
    </row>
    <row r="35" spans="1:16" s="106" customFormat="1" ht="82.5">
      <c r="A35" s="107">
        <f>A34+1</f>
        <v>14</v>
      </c>
      <c r="B35" s="221"/>
      <c r="C35" s="238" t="s">
        <v>122</v>
      </c>
      <c r="D35" s="221"/>
      <c r="E35" s="222"/>
      <c r="F35" s="108"/>
      <c r="G35" s="108"/>
      <c r="H35" s="108"/>
      <c r="I35" s="224"/>
      <c r="J35" s="236"/>
      <c r="K35" s="109"/>
      <c r="L35" s="108"/>
      <c r="M35" s="108"/>
      <c r="N35" s="108"/>
      <c r="O35" s="108"/>
      <c r="P35" s="109"/>
    </row>
    <row r="36" spans="1:16" s="44" customFormat="1" ht="33">
      <c r="A36" s="107">
        <f>A35+1</f>
        <v>15</v>
      </c>
      <c r="B36" s="39"/>
      <c r="C36" s="40" t="s">
        <v>29</v>
      </c>
      <c r="D36" s="41" t="s">
        <v>21</v>
      </c>
      <c r="E36" s="42">
        <v>107.7</v>
      </c>
      <c r="F36" s="42"/>
      <c r="G36" s="35"/>
      <c r="H36" s="43"/>
      <c r="I36" s="43"/>
      <c r="J36" s="43"/>
      <c r="K36" s="109"/>
      <c r="L36" s="108"/>
      <c r="M36" s="108"/>
      <c r="N36" s="108"/>
      <c r="O36" s="108"/>
      <c r="P36" s="109"/>
    </row>
    <row r="37" spans="1:16" s="44" customFormat="1" ht="16.5">
      <c r="A37" s="107"/>
      <c r="B37" s="39"/>
      <c r="C37" s="45" t="s">
        <v>330</v>
      </c>
      <c r="D37" s="41" t="s">
        <v>331</v>
      </c>
      <c r="E37" s="42">
        <v>5</v>
      </c>
      <c r="F37" s="42"/>
      <c r="G37" s="35"/>
      <c r="H37" s="43"/>
      <c r="I37" s="43"/>
      <c r="J37" s="43"/>
      <c r="K37" s="109"/>
      <c r="L37" s="108"/>
      <c r="M37" s="108"/>
      <c r="N37" s="108"/>
      <c r="O37" s="108"/>
      <c r="P37" s="109"/>
    </row>
    <row r="38" spans="1:16" s="44" customFormat="1" ht="16.5">
      <c r="A38" s="107">
        <f>A36+1</f>
        <v>16</v>
      </c>
      <c r="B38" s="39"/>
      <c r="C38" s="45" t="s">
        <v>30</v>
      </c>
      <c r="D38" s="41" t="s">
        <v>17</v>
      </c>
      <c r="E38" s="42">
        <f>ROUND(0.5*E36,2)</f>
        <v>53.85</v>
      </c>
      <c r="F38" s="42"/>
      <c r="G38" s="35"/>
      <c r="H38" s="43"/>
      <c r="I38" s="43"/>
      <c r="J38" s="43"/>
      <c r="K38" s="109"/>
      <c r="L38" s="108"/>
      <c r="M38" s="108"/>
      <c r="N38" s="108"/>
      <c r="O38" s="108"/>
      <c r="P38" s="109"/>
    </row>
    <row r="39" spans="1:16" s="44" customFormat="1" ht="16.5">
      <c r="A39" s="107">
        <f>A38+1</f>
        <v>17</v>
      </c>
      <c r="B39" s="39"/>
      <c r="C39" s="45" t="s">
        <v>25</v>
      </c>
      <c r="D39" s="41" t="s">
        <v>23</v>
      </c>
      <c r="E39" s="42">
        <f>ROUND(6*E36,2)</f>
        <v>646.2</v>
      </c>
      <c r="F39" s="42"/>
      <c r="G39" s="35"/>
      <c r="H39" s="43"/>
      <c r="I39" s="43"/>
      <c r="J39" s="43"/>
      <c r="K39" s="109"/>
      <c r="L39" s="108"/>
      <c r="M39" s="108"/>
      <c r="N39" s="108"/>
      <c r="O39" s="108"/>
      <c r="P39" s="109"/>
    </row>
    <row r="40" spans="1:16" s="106" customFormat="1" ht="16.5">
      <c r="A40" s="107">
        <f>A39+1</f>
        <v>18</v>
      </c>
      <c r="B40" s="107"/>
      <c r="C40" s="112" t="s">
        <v>53</v>
      </c>
      <c r="D40" s="107" t="s">
        <v>17</v>
      </c>
      <c r="E40" s="110">
        <v>167.54</v>
      </c>
      <c r="F40" s="108"/>
      <c r="G40" s="108"/>
      <c r="H40" s="98"/>
      <c r="I40" s="108"/>
      <c r="J40" s="235"/>
      <c r="K40" s="109"/>
      <c r="L40" s="108"/>
      <c r="M40" s="108"/>
      <c r="N40" s="108"/>
      <c r="O40" s="108"/>
      <c r="P40" s="109"/>
    </row>
    <row r="41" spans="1:16" s="106" customFormat="1" ht="16.5">
      <c r="A41" s="107">
        <f>A40+1</f>
        <v>19</v>
      </c>
      <c r="B41" s="107"/>
      <c r="C41" s="219" t="s">
        <v>118</v>
      </c>
      <c r="D41" s="107" t="s">
        <v>21</v>
      </c>
      <c r="E41" s="110">
        <v>110.6</v>
      </c>
      <c r="F41" s="108"/>
      <c r="G41" s="108"/>
      <c r="H41" s="98"/>
      <c r="I41" s="108"/>
      <c r="J41" s="235"/>
      <c r="K41" s="109"/>
      <c r="L41" s="108"/>
      <c r="M41" s="108"/>
      <c r="N41" s="108"/>
      <c r="O41" s="108"/>
      <c r="P41" s="109"/>
    </row>
    <row r="42" spans="1:16" s="57" customFormat="1" ht="33">
      <c r="A42" s="107">
        <f>A41+1</f>
        <v>20</v>
      </c>
      <c r="B42" s="210"/>
      <c r="C42" s="299" t="s">
        <v>283</v>
      </c>
      <c r="D42" s="210" t="s">
        <v>31</v>
      </c>
      <c r="E42" s="211">
        <f>73*6</f>
        <v>438</v>
      </c>
      <c r="F42" s="49"/>
      <c r="G42" s="49"/>
      <c r="H42" s="35"/>
      <c r="I42" s="49"/>
      <c r="J42" s="212"/>
      <c r="K42" s="272"/>
      <c r="L42" s="49"/>
      <c r="M42" s="49"/>
      <c r="N42" s="49"/>
      <c r="O42" s="49"/>
      <c r="P42" s="272"/>
    </row>
    <row r="43" spans="1:16" s="101" customFormat="1" ht="16.5">
      <c r="A43" s="107">
        <f>A42+1</f>
        <v>21</v>
      </c>
      <c r="B43" s="100"/>
      <c r="C43" s="33" t="s">
        <v>49</v>
      </c>
      <c r="D43" s="100"/>
      <c r="E43" s="115"/>
      <c r="F43" s="115"/>
      <c r="G43" s="115"/>
      <c r="H43" s="98"/>
      <c r="I43" s="115"/>
      <c r="J43" s="115"/>
      <c r="K43" s="109"/>
      <c r="L43" s="108"/>
      <c r="M43" s="108"/>
      <c r="N43" s="108"/>
      <c r="O43" s="108"/>
      <c r="P43" s="109"/>
    </row>
    <row r="44" spans="1:16" s="106" customFormat="1" ht="16.5">
      <c r="A44" s="107">
        <f>A43+1</f>
        <v>22</v>
      </c>
      <c r="B44" s="102"/>
      <c r="C44" s="103" t="s">
        <v>54</v>
      </c>
      <c r="D44" s="102" t="s">
        <v>17</v>
      </c>
      <c r="E44" s="104">
        <f>E45</f>
        <v>36.736</v>
      </c>
      <c r="F44" s="98"/>
      <c r="G44" s="98"/>
      <c r="H44" s="98"/>
      <c r="I44" s="98"/>
      <c r="J44" s="237"/>
      <c r="K44" s="109"/>
      <c r="L44" s="108"/>
      <c r="M44" s="108"/>
      <c r="N44" s="108"/>
      <c r="O44" s="108"/>
      <c r="P44" s="109"/>
    </row>
    <row r="45" spans="1:16" s="106" customFormat="1" ht="16.5">
      <c r="A45" s="107">
        <f>A44+1</f>
        <v>23</v>
      </c>
      <c r="B45" s="102"/>
      <c r="C45" s="103" t="s">
        <v>121</v>
      </c>
      <c r="D45" s="102" t="s">
        <v>17</v>
      </c>
      <c r="E45" s="104">
        <f>5.08*2.35+1.88*2.25+1.7*2.25+1.3*2.35+1.02+1.94+1.1*2+1.5*3+1*1.9+1.12*1.9</f>
        <v>36.736</v>
      </c>
      <c r="F45" s="98"/>
      <c r="G45" s="98"/>
      <c r="H45" s="98"/>
      <c r="I45" s="99"/>
      <c r="J45" s="237"/>
      <c r="K45" s="109"/>
      <c r="L45" s="108"/>
      <c r="M45" s="108"/>
      <c r="N45" s="108"/>
      <c r="O45" s="108"/>
      <c r="P45" s="109"/>
    </row>
    <row r="46" spans="1:16" s="106" customFormat="1" ht="16.5">
      <c r="A46" s="107"/>
      <c r="B46" s="102"/>
      <c r="C46" s="116" t="s">
        <v>50</v>
      </c>
      <c r="D46" s="102" t="s">
        <v>23</v>
      </c>
      <c r="E46" s="104">
        <f>0.5*E45</f>
        <v>18.368</v>
      </c>
      <c r="F46" s="98"/>
      <c r="G46" s="98"/>
      <c r="H46" s="98"/>
      <c r="I46" s="98"/>
      <c r="J46" s="105"/>
      <c r="K46" s="109"/>
      <c r="L46" s="108"/>
      <c r="M46" s="108"/>
      <c r="N46" s="108"/>
      <c r="O46" s="108"/>
      <c r="P46" s="109"/>
    </row>
    <row r="47" spans="1:16" s="57" customFormat="1" ht="214.5">
      <c r="A47" s="107"/>
      <c r="B47" s="210"/>
      <c r="C47" s="209" t="s">
        <v>299</v>
      </c>
      <c r="D47" s="210" t="s">
        <v>88</v>
      </c>
      <c r="E47" s="211">
        <v>1</v>
      </c>
      <c r="F47" s="49"/>
      <c r="G47" s="49"/>
      <c r="H47" s="49"/>
      <c r="I47" s="49"/>
      <c r="J47" s="212"/>
      <c r="K47" s="272"/>
      <c r="L47" s="49"/>
      <c r="M47" s="49"/>
      <c r="N47" s="49"/>
      <c r="O47" s="49"/>
      <c r="P47" s="272"/>
    </row>
    <row r="48" spans="1:16" s="106" customFormat="1" ht="99">
      <c r="A48" s="107"/>
      <c r="B48" s="102"/>
      <c r="C48" s="116" t="s">
        <v>300</v>
      </c>
      <c r="D48" s="102" t="s">
        <v>88</v>
      </c>
      <c r="E48" s="104">
        <v>1</v>
      </c>
      <c r="F48" s="98"/>
      <c r="G48" s="98"/>
      <c r="H48" s="98"/>
      <c r="I48" s="98"/>
      <c r="J48" s="237"/>
      <c r="K48" s="109"/>
      <c r="L48" s="108"/>
      <c r="M48" s="108"/>
      <c r="N48" s="108"/>
      <c r="O48" s="108"/>
      <c r="P48" s="109"/>
    </row>
    <row r="49" spans="1:16" s="106" customFormat="1" ht="99">
      <c r="A49" s="107"/>
      <c r="B49" s="102"/>
      <c r="C49" s="116" t="s">
        <v>301</v>
      </c>
      <c r="D49" s="102" t="s">
        <v>88</v>
      </c>
      <c r="E49" s="104">
        <v>1</v>
      </c>
      <c r="F49" s="98"/>
      <c r="G49" s="98"/>
      <c r="H49" s="98"/>
      <c r="I49" s="98"/>
      <c r="J49" s="237"/>
      <c r="K49" s="109"/>
      <c r="L49" s="108"/>
      <c r="M49" s="108"/>
      <c r="N49" s="108"/>
      <c r="O49" s="108"/>
      <c r="P49" s="109"/>
    </row>
    <row r="50" spans="1:16" s="106" customFormat="1" ht="99">
      <c r="A50" s="107"/>
      <c r="B50" s="102"/>
      <c r="C50" s="116" t="s">
        <v>302</v>
      </c>
      <c r="D50" s="102" t="s">
        <v>88</v>
      </c>
      <c r="E50" s="104">
        <v>1</v>
      </c>
      <c r="F50" s="98"/>
      <c r="G50" s="98"/>
      <c r="H50" s="98"/>
      <c r="I50" s="98"/>
      <c r="J50" s="237"/>
      <c r="K50" s="109"/>
      <c r="L50" s="108"/>
      <c r="M50" s="108"/>
      <c r="N50" s="108"/>
      <c r="O50" s="108"/>
      <c r="P50" s="109"/>
    </row>
    <row r="51" spans="1:16" s="106" customFormat="1" ht="66">
      <c r="A51" s="107"/>
      <c r="B51" s="102"/>
      <c r="C51" s="116" t="s">
        <v>303</v>
      </c>
      <c r="D51" s="102" t="s">
        <v>88</v>
      </c>
      <c r="E51" s="104">
        <v>1</v>
      </c>
      <c r="F51" s="98"/>
      <c r="G51" s="98"/>
      <c r="H51" s="98"/>
      <c r="I51" s="98"/>
      <c r="J51" s="237"/>
      <c r="K51" s="109"/>
      <c r="L51" s="108"/>
      <c r="M51" s="108"/>
      <c r="N51" s="108"/>
      <c r="O51" s="108"/>
      <c r="P51" s="109"/>
    </row>
    <row r="52" spans="1:16" s="106" customFormat="1" ht="66">
      <c r="A52" s="107"/>
      <c r="B52" s="102"/>
      <c r="C52" s="116" t="s">
        <v>304</v>
      </c>
      <c r="D52" s="102" t="s">
        <v>88</v>
      </c>
      <c r="E52" s="104">
        <v>1</v>
      </c>
      <c r="F52" s="98"/>
      <c r="G52" s="98"/>
      <c r="H52" s="98"/>
      <c r="I52" s="98"/>
      <c r="J52" s="237"/>
      <c r="K52" s="109"/>
      <c r="L52" s="108"/>
      <c r="M52" s="108"/>
      <c r="N52" s="108"/>
      <c r="O52" s="108"/>
      <c r="P52" s="109"/>
    </row>
    <row r="53" spans="1:16" s="106" customFormat="1" ht="66">
      <c r="A53" s="107"/>
      <c r="B53" s="102"/>
      <c r="C53" s="116" t="s">
        <v>305</v>
      </c>
      <c r="D53" s="102" t="s">
        <v>88</v>
      </c>
      <c r="E53" s="104">
        <v>1</v>
      </c>
      <c r="F53" s="98"/>
      <c r="G53" s="98"/>
      <c r="H53" s="98"/>
      <c r="I53" s="98"/>
      <c r="J53" s="237"/>
      <c r="K53" s="109"/>
      <c r="L53" s="108"/>
      <c r="M53" s="108"/>
      <c r="N53" s="108"/>
      <c r="O53" s="108"/>
      <c r="P53" s="109"/>
    </row>
    <row r="54" spans="1:16" s="106" customFormat="1" ht="66">
      <c r="A54" s="107"/>
      <c r="B54" s="102"/>
      <c r="C54" s="116" t="s">
        <v>306</v>
      </c>
      <c r="D54" s="102" t="s">
        <v>88</v>
      </c>
      <c r="E54" s="104">
        <v>1</v>
      </c>
      <c r="F54" s="98"/>
      <c r="G54" s="98"/>
      <c r="H54" s="98"/>
      <c r="I54" s="98"/>
      <c r="J54" s="237"/>
      <c r="K54" s="109"/>
      <c r="L54" s="108"/>
      <c r="M54" s="108"/>
      <c r="N54" s="108"/>
      <c r="O54" s="108"/>
      <c r="P54" s="109"/>
    </row>
    <row r="55" spans="1:16" s="106" customFormat="1" ht="66">
      <c r="A55" s="107"/>
      <c r="B55" s="102"/>
      <c r="C55" s="116" t="s">
        <v>307</v>
      </c>
      <c r="D55" s="102" t="s">
        <v>88</v>
      </c>
      <c r="E55" s="104">
        <v>1</v>
      </c>
      <c r="F55" s="98"/>
      <c r="G55" s="98"/>
      <c r="H55" s="98"/>
      <c r="I55" s="98"/>
      <c r="J55" s="237"/>
      <c r="K55" s="109"/>
      <c r="L55" s="108"/>
      <c r="M55" s="108"/>
      <c r="N55" s="108"/>
      <c r="O55" s="108"/>
      <c r="P55" s="109"/>
    </row>
    <row r="56" spans="1:16" s="106" customFormat="1" ht="16.5">
      <c r="A56" s="107">
        <f>A45+1</f>
        <v>24</v>
      </c>
      <c r="B56" s="102"/>
      <c r="C56" s="116" t="s">
        <v>131</v>
      </c>
      <c r="D56" s="102" t="s">
        <v>88</v>
      </c>
      <c r="E56" s="104">
        <v>1</v>
      </c>
      <c r="F56" s="98"/>
      <c r="G56" s="98"/>
      <c r="H56" s="98"/>
      <c r="I56" s="98"/>
      <c r="J56" s="237"/>
      <c r="K56" s="109"/>
      <c r="L56" s="108"/>
      <c r="M56" s="108"/>
      <c r="N56" s="108"/>
      <c r="O56" s="108"/>
      <c r="P56" s="109"/>
    </row>
    <row r="57" spans="1:16" s="119" customFormat="1" ht="82.5">
      <c r="A57" s="363">
        <f>A56+1</f>
        <v>25</v>
      </c>
      <c r="B57" s="364"/>
      <c r="C57" s="365" t="s">
        <v>332</v>
      </c>
      <c r="D57" s="366" t="s">
        <v>17</v>
      </c>
      <c r="E57" s="367">
        <v>39.19</v>
      </c>
      <c r="F57" s="368"/>
      <c r="G57" s="62"/>
      <c r="H57" s="368"/>
      <c r="I57" s="368"/>
      <c r="J57" s="368"/>
      <c r="K57" s="64"/>
      <c r="L57" s="64"/>
      <c r="M57" s="64"/>
      <c r="N57" s="64"/>
      <c r="O57" s="64"/>
      <c r="P57" s="64"/>
    </row>
    <row r="58" spans="1:16" s="119" customFormat="1" ht="16.5">
      <c r="A58" s="107"/>
      <c r="B58" s="117"/>
      <c r="C58" s="209" t="s">
        <v>333</v>
      </c>
      <c r="D58" s="52" t="s">
        <v>19</v>
      </c>
      <c r="E58" s="48">
        <v>392</v>
      </c>
      <c r="F58" s="49"/>
      <c r="G58" s="49"/>
      <c r="H58" s="49"/>
      <c r="I58" s="49"/>
      <c r="J58" s="49"/>
      <c r="K58" s="50"/>
      <c r="L58" s="50"/>
      <c r="M58" s="50"/>
      <c r="N58" s="50"/>
      <c r="O58" s="50"/>
      <c r="P58" s="50"/>
    </row>
    <row r="59" spans="1:16" s="119" customFormat="1" ht="16.5">
      <c r="A59" s="107"/>
      <c r="B59" s="117"/>
      <c r="C59" s="209" t="s">
        <v>334</v>
      </c>
      <c r="D59" s="52" t="s">
        <v>19</v>
      </c>
      <c r="E59" s="48">
        <v>333</v>
      </c>
      <c r="F59" s="49"/>
      <c r="G59" s="49"/>
      <c r="H59" s="49"/>
      <c r="I59" s="49"/>
      <c r="J59" s="49"/>
      <c r="K59" s="50"/>
      <c r="L59" s="50"/>
      <c r="M59" s="50"/>
      <c r="N59" s="50"/>
      <c r="O59" s="50"/>
      <c r="P59" s="50"/>
    </row>
    <row r="60" spans="1:16" s="119" customFormat="1" ht="16.5">
      <c r="A60" s="107"/>
      <c r="B60" s="117"/>
      <c r="C60" s="209" t="s">
        <v>335</v>
      </c>
      <c r="D60" s="52" t="s">
        <v>21</v>
      </c>
      <c r="E60" s="48">
        <v>24</v>
      </c>
      <c r="F60" s="49"/>
      <c r="G60" s="49"/>
      <c r="H60" s="49"/>
      <c r="I60" s="49"/>
      <c r="J60" s="49"/>
      <c r="K60" s="50"/>
      <c r="L60" s="50"/>
      <c r="M60" s="50"/>
      <c r="N60" s="50"/>
      <c r="O60" s="50"/>
      <c r="P60" s="50"/>
    </row>
    <row r="61" spans="1:16" s="119" customFormat="1" ht="16.5">
      <c r="A61" s="107"/>
      <c r="B61" s="117"/>
      <c r="C61" s="209" t="s">
        <v>336</v>
      </c>
      <c r="D61" s="52" t="s">
        <v>28</v>
      </c>
      <c r="E61" s="48">
        <v>3.92</v>
      </c>
      <c r="F61" s="49"/>
      <c r="G61" s="49"/>
      <c r="H61" s="49"/>
      <c r="I61" s="49"/>
      <c r="J61" s="49"/>
      <c r="K61" s="50"/>
      <c r="L61" s="50"/>
      <c r="M61" s="50"/>
      <c r="N61" s="50"/>
      <c r="O61" s="50"/>
      <c r="P61" s="50"/>
    </row>
    <row r="62" spans="1:16" s="119" customFormat="1" ht="16.5">
      <c r="A62" s="107"/>
      <c r="B62" s="117"/>
      <c r="C62" s="209" t="s">
        <v>337</v>
      </c>
      <c r="D62" s="52" t="s">
        <v>19</v>
      </c>
      <c r="E62" s="48">
        <v>94.05</v>
      </c>
      <c r="F62" s="49"/>
      <c r="G62" s="49"/>
      <c r="H62" s="49"/>
      <c r="I62" s="49"/>
      <c r="J62" s="49"/>
      <c r="K62" s="50"/>
      <c r="L62" s="50"/>
      <c r="M62" s="50"/>
      <c r="N62" s="50"/>
      <c r="O62" s="50"/>
      <c r="P62" s="50"/>
    </row>
    <row r="63" spans="1:16" s="119" customFormat="1" ht="16.5">
      <c r="A63" s="107"/>
      <c r="B63" s="117"/>
      <c r="C63" s="209" t="s">
        <v>338</v>
      </c>
      <c r="D63" s="52" t="s">
        <v>17</v>
      </c>
      <c r="E63" s="48">
        <v>1.96</v>
      </c>
      <c r="F63" s="49"/>
      <c r="G63" s="49"/>
      <c r="H63" s="49"/>
      <c r="I63" s="49"/>
      <c r="J63" s="49"/>
      <c r="K63" s="50"/>
      <c r="L63" s="50"/>
      <c r="M63" s="50"/>
      <c r="N63" s="50"/>
      <c r="O63" s="50"/>
      <c r="P63" s="50"/>
    </row>
    <row r="64" spans="1:16" s="119" customFormat="1" ht="16.5">
      <c r="A64" s="107"/>
      <c r="B64" s="117"/>
      <c r="C64" s="209" t="s">
        <v>339</v>
      </c>
      <c r="D64" s="52" t="s">
        <v>19</v>
      </c>
      <c r="E64" s="48">
        <v>15.67</v>
      </c>
      <c r="F64" s="49"/>
      <c r="G64" s="49"/>
      <c r="H64" s="49"/>
      <c r="I64" s="49"/>
      <c r="J64" s="49"/>
      <c r="K64" s="50"/>
      <c r="L64" s="50"/>
      <c r="M64" s="50"/>
      <c r="N64" s="50"/>
      <c r="O64" s="50"/>
      <c r="P64" s="50"/>
    </row>
    <row r="65" spans="1:16" s="119" customFormat="1" ht="16.5">
      <c r="A65" s="107"/>
      <c r="B65" s="117"/>
      <c r="C65" s="209" t="s">
        <v>340</v>
      </c>
      <c r="D65" s="52" t="s">
        <v>31</v>
      </c>
      <c r="E65" s="48">
        <v>1</v>
      </c>
      <c r="F65" s="49"/>
      <c r="G65" s="49"/>
      <c r="H65" s="49"/>
      <c r="I65" s="49"/>
      <c r="J65" s="49"/>
      <c r="K65" s="50"/>
      <c r="L65" s="50"/>
      <c r="M65" s="50"/>
      <c r="N65" s="50"/>
      <c r="O65" s="50"/>
      <c r="P65" s="50"/>
    </row>
    <row r="66" spans="1:16" s="119" customFormat="1" ht="33">
      <c r="A66" s="107"/>
      <c r="B66" s="117"/>
      <c r="C66" s="118" t="s">
        <v>341</v>
      </c>
      <c r="D66" s="52" t="s">
        <v>31</v>
      </c>
      <c r="E66" s="48">
        <v>4</v>
      </c>
      <c r="F66" s="49"/>
      <c r="G66" s="49"/>
      <c r="H66" s="49"/>
      <c r="I66" s="49"/>
      <c r="J66" s="49"/>
      <c r="K66" s="50"/>
      <c r="L66" s="50"/>
      <c r="M66" s="50"/>
      <c r="N66" s="50"/>
      <c r="O66" s="50"/>
      <c r="P66" s="50"/>
    </row>
    <row r="67" spans="1:16" s="65" customFormat="1" ht="16.5">
      <c r="A67" s="51"/>
      <c r="B67" s="376"/>
      <c r="C67" s="377"/>
      <c r="D67" s="377"/>
      <c r="E67" s="377"/>
      <c r="F67" s="52"/>
      <c r="G67" s="212"/>
      <c r="H67" s="212"/>
      <c r="I67" s="49"/>
      <c r="J67" s="49"/>
      <c r="K67" s="378"/>
      <c r="L67" s="378"/>
      <c r="M67" s="50"/>
      <c r="N67" s="50"/>
      <c r="O67" s="50"/>
      <c r="P67" s="50"/>
    </row>
    <row r="68" spans="1:16" s="73" customFormat="1" ht="16.5">
      <c r="A68" s="369"/>
      <c r="B68" s="370"/>
      <c r="C68" s="371" t="s">
        <v>35</v>
      </c>
      <c r="D68" s="370" t="s">
        <v>326</v>
      </c>
      <c r="E68" s="370"/>
      <c r="F68" s="370"/>
      <c r="G68" s="372"/>
      <c r="H68" s="373"/>
      <c r="I68" s="372"/>
      <c r="J68" s="372"/>
      <c r="K68" s="372"/>
      <c r="L68" s="374">
        <f>SUM(L18:L67)</f>
        <v>0</v>
      </c>
      <c r="M68" s="374">
        <f>SUM(M18:M67)</f>
        <v>0</v>
      </c>
      <c r="N68" s="374">
        <f>SUM(N18:N67)</f>
        <v>0</v>
      </c>
      <c r="O68" s="374">
        <f>SUM(O18:O67)</f>
        <v>0</v>
      </c>
      <c r="P68" s="375">
        <f>SUM(M68:O68)</f>
        <v>0</v>
      </c>
    </row>
    <row r="69" spans="1:16" s="28" customFormat="1" ht="16.5">
      <c r="A69" s="343" t="s">
        <v>327</v>
      </c>
      <c r="B69" s="343"/>
      <c r="C69" s="343"/>
      <c r="D69" s="343"/>
      <c r="E69" s="343"/>
      <c r="F69" s="343"/>
      <c r="G69" s="343"/>
      <c r="H69" s="343"/>
      <c r="I69" s="343"/>
      <c r="J69" s="343"/>
      <c r="K69" s="343"/>
      <c r="L69" s="74"/>
      <c r="M69" s="74"/>
      <c r="N69" s="74">
        <f>ROUND(N68*0.05,2)</f>
        <v>0</v>
      </c>
      <c r="O69" s="74"/>
      <c r="P69" s="75">
        <f>SUM(M69:O69)</f>
        <v>0</v>
      </c>
    </row>
    <row r="70" spans="1:16" s="78" customFormat="1" ht="17.25" thickBot="1">
      <c r="A70" s="349" t="s">
        <v>36</v>
      </c>
      <c r="B70" s="349"/>
      <c r="C70" s="349"/>
      <c r="D70" s="349"/>
      <c r="E70" s="349"/>
      <c r="F70" s="349"/>
      <c r="G70" s="349"/>
      <c r="H70" s="349"/>
      <c r="I70" s="349"/>
      <c r="J70" s="349"/>
      <c r="K70" s="349"/>
      <c r="L70" s="76">
        <f>SUM(L68:L69)</f>
        <v>0</v>
      </c>
      <c r="M70" s="76">
        <f>SUM(M68:M69)</f>
        <v>0</v>
      </c>
      <c r="N70" s="76">
        <f>SUM(N68:N69)</f>
        <v>0</v>
      </c>
      <c r="O70" s="76">
        <f>SUM(O68:O69)</f>
        <v>0</v>
      </c>
      <c r="P70" s="77">
        <f>SUM(M70:O70)</f>
        <v>0</v>
      </c>
    </row>
    <row r="71" spans="1:15" s="82" customFormat="1" ht="16.5">
      <c r="A71" s="79"/>
      <c r="B71" s="79"/>
      <c r="C71" s="80"/>
      <c r="D71" s="81"/>
      <c r="E71" s="81"/>
      <c r="F71" s="81"/>
      <c r="G71" s="81"/>
      <c r="H71" s="81"/>
      <c r="I71" s="81"/>
      <c r="J71" s="81"/>
      <c r="K71" s="81"/>
      <c r="L71" s="80"/>
      <c r="M71" s="80"/>
      <c r="N71" s="80"/>
      <c r="O71" s="80"/>
    </row>
    <row r="72" spans="1:15" s="82" customFormat="1" ht="11.25" customHeight="1">
      <c r="A72" s="79"/>
      <c r="B72" s="79"/>
      <c r="C72" s="80"/>
      <c r="D72" s="81"/>
      <c r="E72" s="81"/>
      <c r="F72" s="81"/>
      <c r="G72" s="81"/>
      <c r="H72" s="81"/>
      <c r="I72" s="81"/>
      <c r="J72" s="81"/>
      <c r="K72" s="81"/>
      <c r="L72" s="80"/>
      <c r="M72" s="80"/>
      <c r="N72" s="80"/>
      <c r="O72" s="80"/>
    </row>
    <row r="73" spans="1:15" s="82" customFormat="1" ht="16.5">
      <c r="A73" s="350" t="s">
        <v>342</v>
      </c>
      <c r="B73" s="350"/>
      <c r="C73" s="350"/>
      <c r="D73" s="350"/>
      <c r="E73" s="350"/>
      <c r="F73" s="350"/>
      <c r="G73" s="350"/>
      <c r="H73" s="80"/>
      <c r="I73" s="351" t="s">
        <v>37</v>
      </c>
      <c r="J73" s="351"/>
      <c r="K73" s="351"/>
      <c r="L73" s="351"/>
      <c r="M73" s="351"/>
      <c r="N73" s="351"/>
      <c r="O73" s="351"/>
    </row>
    <row r="74" spans="1:15" s="82" customFormat="1" ht="16.5">
      <c r="A74" s="352" t="s">
        <v>311</v>
      </c>
      <c r="B74" s="352"/>
      <c r="C74" s="352"/>
      <c r="D74" s="83"/>
      <c r="E74" s="83"/>
      <c r="F74" s="83"/>
      <c r="G74" s="83"/>
      <c r="H74" s="80"/>
      <c r="I74" s="353" t="s">
        <v>38</v>
      </c>
      <c r="J74" s="353"/>
      <c r="K74" s="353"/>
      <c r="L74" s="353"/>
      <c r="M74" s="353"/>
      <c r="N74" s="353"/>
      <c r="O74" s="353"/>
    </row>
  </sheetData>
  <sheetProtection/>
  <mergeCells count="29">
    <mergeCell ref="A74:C74"/>
    <mergeCell ref="I74:O74"/>
    <mergeCell ref="A9:B9"/>
    <mergeCell ref="C9:P9"/>
    <mergeCell ref="E14:E15"/>
    <mergeCell ref="F14:K14"/>
    <mergeCell ref="L14:P14"/>
    <mergeCell ref="A70:K70"/>
    <mergeCell ref="A73:G73"/>
    <mergeCell ref="I73:O73"/>
    <mergeCell ref="D6:P6"/>
    <mergeCell ref="A69:K69"/>
    <mergeCell ref="A14:A15"/>
    <mergeCell ref="A11:P11"/>
    <mergeCell ref="A12:D12"/>
    <mergeCell ref="D7:P7"/>
    <mergeCell ref="B14:B15"/>
    <mergeCell ref="C14:C15"/>
    <mergeCell ref="D14:D15"/>
    <mergeCell ref="A7:C7"/>
    <mergeCell ref="O10:P10"/>
    <mergeCell ref="A1:P1"/>
    <mergeCell ref="A2:P2"/>
    <mergeCell ref="A3:P3"/>
    <mergeCell ref="A5:C5"/>
    <mergeCell ref="D5:P5"/>
    <mergeCell ref="A8:C8"/>
    <mergeCell ref="D8:P8"/>
    <mergeCell ref="A6:C6"/>
  </mergeCells>
  <printOptions/>
  <pageMargins left="0.7" right="0.7" top="0.75" bottom="0.75" header="0.3" footer="0.3"/>
  <pageSetup horizontalDpi="600" verticalDpi="600" orientation="landscape" scale="72" r:id="rId1"/>
  <rowBreaks count="1" manualBreakCount="1">
    <brk id="67" max="255" man="1"/>
  </rowBreaks>
</worksheet>
</file>

<file path=xl/worksheets/sheet6.xml><?xml version="1.0" encoding="utf-8"?>
<worksheet xmlns="http://schemas.openxmlformats.org/spreadsheetml/2006/main" xmlns:r="http://schemas.openxmlformats.org/officeDocument/2006/relationships">
  <dimension ref="A1:P49"/>
  <sheetViews>
    <sheetView showZeros="0" zoomScalePageLayoutView="0" workbookViewId="0" topLeftCell="A1">
      <selection activeCell="C9" sqref="C9:P9"/>
    </sheetView>
  </sheetViews>
  <sheetFormatPr defaultColWidth="7.140625" defaultRowHeight="15"/>
  <cols>
    <col min="1" max="1" width="5.7109375" style="84" customWidth="1"/>
    <col min="2" max="2" width="5.28125" style="84" customWidth="1"/>
    <col min="3" max="3" width="39.8515625" style="84" customWidth="1"/>
    <col min="4" max="4" width="7.7109375" style="84" customWidth="1"/>
    <col min="5" max="5" width="8.421875" style="85" customWidth="1"/>
    <col min="6" max="6" width="9.28125" style="84" customWidth="1"/>
    <col min="7" max="7" width="9.140625" style="86" customWidth="1"/>
    <col min="8" max="11" width="9.140625" style="84" customWidth="1"/>
    <col min="12" max="16" width="8.8515625" style="84" customWidth="1"/>
    <col min="17" max="228" width="9.140625" style="84" customWidth="1"/>
    <col min="229" max="16384" width="7.140625" style="84" customWidth="1"/>
  </cols>
  <sheetData>
    <row r="1" spans="1:16" s="1" customFormat="1" ht="18">
      <c r="A1" s="337" t="s">
        <v>281</v>
      </c>
      <c r="B1" s="337"/>
      <c r="C1" s="337"/>
      <c r="D1" s="337"/>
      <c r="E1" s="337"/>
      <c r="F1" s="337"/>
      <c r="G1" s="337"/>
      <c r="H1" s="337"/>
      <c r="I1" s="337"/>
      <c r="J1" s="337"/>
      <c r="K1" s="337"/>
      <c r="L1" s="337"/>
      <c r="M1" s="337"/>
      <c r="N1" s="337"/>
      <c r="O1" s="337"/>
      <c r="P1" s="337"/>
    </row>
    <row r="2" spans="1:16" s="2" customFormat="1" ht="18">
      <c r="A2" s="338" t="s">
        <v>280</v>
      </c>
      <c r="B2" s="338"/>
      <c r="C2" s="338"/>
      <c r="D2" s="338"/>
      <c r="E2" s="338"/>
      <c r="F2" s="338"/>
      <c r="G2" s="338"/>
      <c r="H2" s="338"/>
      <c r="I2" s="338"/>
      <c r="J2" s="338"/>
      <c r="K2" s="338"/>
      <c r="L2" s="338"/>
      <c r="M2" s="338"/>
      <c r="N2" s="338"/>
      <c r="O2" s="338"/>
      <c r="P2" s="338"/>
    </row>
    <row r="3" spans="1:16" s="3" customFormat="1" ht="12.75">
      <c r="A3" s="339" t="s">
        <v>2</v>
      </c>
      <c r="B3" s="339"/>
      <c r="C3" s="339"/>
      <c r="D3" s="339"/>
      <c r="E3" s="339"/>
      <c r="F3" s="339"/>
      <c r="G3" s="339"/>
      <c r="H3" s="339"/>
      <c r="I3" s="339"/>
      <c r="J3" s="339"/>
      <c r="K3" s="339"/>
      <c r="L3" s="339"/>
      <c r="M3" s="339"/>
      <c r="N3" s="339"/>
      <c r="O3" s="339"/>
      <c r="P3" s="339"/>
    </row>
    <row r="4" spans="1:16" s="9" customFormat="1" ht="15.75">
      <c r="A4" s="4"/>
      <c r="B4" s="5"/>
      <c r="C4" s="6"/>
      <c r="D4" s="7"/>
      <c r="E4" s="5"/>
      <c r="F4" s="4"/>
      <c r="G4" s="4"/>
      <c r="H4" s="4"/>
      <c r="I4" s="4"/>
      <c r="J4" s="4"/>
      <c r="K4" s="4"/>
      <c r="L4" s="4"/>
      <c r="M4" s="8"/>
      <c r="N4" s="8"/>
      <c r="O4" s="8"/>
      <c r="P4" s="8"/>
    </row>
    <row r="5" spans="1:16" s="10" customFormat="1" ht="14.25" customHeight="1">
      <c r="A5" s="340" t="s">
        <v>3</v>
      </c>
      <c r="B5" s="340"/>
      <c r="C5" s="340"/>
      <c r="D5" s="341" t="s">
        <v>359</v>
      </c>
      <c r="E5" s="341"/>
      <c r="F5" s="341"/>
      <c r="G5" s="341"/>
      <c r="H5" s="341"/>
      <c r="I5" s="341"/>
      <c r="J5" s="341"/>
      <c r="K5" s="341"/>
      <c r="L5" s="341"/>
      <c r="M5" s="341"/>
      <c r="N5" s="341"/>
      <c r="O5" s="341"/>
      <c r="P5" s="341"/>
    </row>
    <row r="6" spans="1:16" s="10" customFormat="1" ht="14.25" customHeight="1">
      <c r="A6" s="340" t="s">
        <v>4</v>
      </c>
      <c r="B6" s="340"/>
      <c r="C6" s="340"/>
      <c r="D6" s="341" t="s">
        <v>360</v>
      </c>
      <c r="E6" s="341"/>
      <c r="F6" s="341"/>
      <c r="G6" s="341"/>
      <c r="H6" s="341"/>
      <c r="I6" s="341"/>
      <c r="J6" s="341"/>
      <c r="K6" s="341"/>
      <c r="L6" s="341"/>
      <c r="M6" s="341"/>
      <c r="N6" s="341"/>
      <c r="O6" s="341"/>
      <c r="P6" s="341"/>
    </row>
    <row r="7" spans="1:16" s="10" customFormat="1" ht="16.5">
      <c r="A7" s="335" t="s">
        <v>5</v>
      </c>
      <c r="B7" s="335"/>
      <c r="C7" s="335"/>
      <c r="D7" s="341" t="s">
        <v>197</v>
      </c>
      <c r="E7" s="341"/>
      <c r="F7" s="341"/>
      <c r="G7" s="341"/>
      <c r="H7" s="341"/>
      <c r="I7" s="341"/>
      <c r="J7" s="341"/>
      <c r="K7" s="341"/>
      <c r="L7" s="341"/>
      <c r="M7" s="341"/>
      <c r="N7" s="341"/>
      <c r="O7" s="341"/>
      <c r="P7" s="341"/>
    </row>
    <row r="8" spans="1:16" s="10" customFormat="1" ht="16.5" customHeight="1">
      <c r="A8" s="335" t="s">
        <v>6</v>
      </c>
      <c r="B8" s="335"/>
      <c r="C8" s="335"/>
      <c r="D8" s="342" t="s">
        <v>198</v>
      </c>
      <c r="E8" s="342"/>
      <c r="F8" s="342"/>
      <c r="G8" s="342"/>
      <c r="H8" s="342"/>
      <c r="I8" s="342"/>
      <c r="J8" s="342"/>
      <c r="K8" s="342"/>
      <c r="L8" s="342"/>
      <c r="M8" s="342"/>
      <c r="N8" s="342"/>
      <c r="O8" s="342"/>
      <c r="P8" s="342"/>
    </row>
    <row r="9" spans="1:16" s="10" customFormat="1" ht="51" customHeight="1">
      <c r="A9" s="362" t="s">
        <v>314</v>
      </c>
      <c r="B9" s="362"/>
      <c r="C9" s="362" t="s">
        <v>315</v>
      </c>
      <c r="D9" s="362"/>
      <c r="E9" s="362"/>
      <c r="F9" s="362"/>
      <c r="G9" s="362"/>
      <c r="H9" s="362"/>
      <c r="I9" s="362"/>
      <c r="J9" s="362"/>
      <c r="K9" s="362"/>
      <c r="L9" s="362"/>
      <c r="M9" s="362"/>
      <c r="N9" s="362"/>
      <c r="O9" s="362"/>
      <c r="P9" s="362"/>
    </row>
    <row r="10" spans="1:16" s="16" customFormat="1" ht="16.5">
      <c r="A10" s="17" t="s">
        <v>343</v>
      </c>
      <c r="B10" s="17"/>
      <c r="C10" s="17"/>
      <c r="D10" s="17"/>
      <c r="E10" s="17"/>
      <c r="F10" s="12"/>
      <c r="G10" s="12"/>
      <c r="H10" s="12"/>
      <c r="I10" s="12"/>
      <c r="J10" s="12"/>
      <c r="K10" s="12"/>
      <c r="L10" s="18"/>
      <c r="M10" s="18" t="s">
        <v>7</v>
      </c>
      <c r="N10" s="19"/>
      <c r="O10" s="336">
        <f>P46</f>
        <v>0</v>
      </c>
      <c r="P10" s="336"/>
    </row>
    <row r="11" spans="1:16" s="11" customFormat="1" ht="16.5">
      <c r="A11" s="345" t="s">
        <v>313</v>
      </c>
      <c r="B11" s="345"/>
      <c r="C11" s="345"/>
      <c r="D11" s="345"/>
      <c r="E11" s="345"/>
      <c r="F11" s="345"/>
      <c r="G11" s="345"/>
      <c r="H11" s="345"/>
      <c r="I11" s="345"/>
      <c r="J11" s="345"/>
      <c r="K11" s="345"/>
      <c r="L11" s="345"/>
      <c r="M11" s="345"/>
      <c r="N11" s="345"/>
      <c r="O11" s="345"/>
      <c r="P11" s="345"/>
    </row>
    <row r="12" spans="1:16" s="11" customFormat="1" ht="16.5" hidden="1">
      <c r="A12" s="346"/>
      <c r="B12" s="346"/>
      <c r="C12" s="346"/>
      <c r="D12" s="346"/>
      <c r="E12" s="20"/>
      <c r="F12" s="21"/>
      <c r="G12" s="21"/>
      <c r="H12" s="21"/>
      <c r="I12" s="21">
        <v>3</v>
      </c>
      <c r="J12" s="21"/>
      <c r="K12" s="21"/>
      <c r="L12" s="21"/>
      <c r="M12" s="22"/>
      <c r="N12" s="22"/>
      <c r="O12" s="22"/>
      <c r="P12" s="23"/>
    </row>
    <row r="13" spans="1:16" s="28" customFormat="1" ht="16.5">
      <c r="A13" s="24"/>
      <c r="B13" s="24"/>
      <c r="C13" s="25"/>
      <c r="D13" s="25"/>
      <c r="E13" s="26"/>
      <c r="F13" s="24"/>
      <c r="G13" s="24"/>
      <c r="H13" s="24"/>
      <c r="I13" s="24"/>
      <c r="J13" s="24"/>
      <c r="K13" s="24"/>
      <c r="L13" s="24"/>
      <c r="M13" s="27"/>
      <c r="N13" s="27"/>
      <c r="O13" s="27"/>
      <c r="P13" s="27"/>
    </row>
    <row r="14" spans="1:16" s="124" customFormat="1" ht="12.75">
      <c r="A14" s="354" t="s">
        <v>8</v>
      </c>
      <c r="B14" s="354" t="s">
        <v>9</v>
      </c>
      <c r="C14" s="361" t="s">
        <v>10</v>
      </c>
      <c r="D14" s="354" t="s">
        <v>11</v>
      </c>
      <c r="E14" s="354" t="s">
        <v>12</v>
      </c>
      <c r="F14" s="354" t="s">
        <v>13</v>
      </c>
      <c r="G14" s="354"/>
      <c r="H14" s="354"/>
      <c r="I14" s="354"/>
      <c r="J14" s="354"/>
      <c r="K14" s="354"/>
      <c r="L14" s="354" t="s">
        <v>325</v>
      </c>
      <c r="M14" s="354"/>
      <c r="N14" s="354"/>
      <c r="O14" s="354"/>
      <c r="P14" s="354"/>
    </row>
    <row r="15" spans="1:16" s="124" customFormat="1" ht="51">
      <c r="A15" s="354"/>
      <c r="B15" s="354"/>
      <c r="C15" s="361"/>
      <c r="D15" s="354"/>
      <c r="E15" s="354"/>
      <c r="F15" s="122" t="s">
        <v>14</v>
      </c>
      <c r="G15" s="122" t="s">
        <v>344</v>
      </c>
      <c r="H15" s="122" t="s">
        <v>317</v>
      </c>
      <c r="I15" s="122" t="s">
        <v>318</v>
      </c>
      <c r="J15" s="122" t="s">
        <v>319</v>
      </c>
      <c r="K15" s="122" t="s">
        <v>320</v>
      </c>
      <c r="L15" s="122" t="s">
        <v>16</v>
      </c>
      <c r="M15" s="122" t="s">
        <v>321</v>
      </c>
      <c r="N15" s="122" t="s">
        <v>322</v>
      </c>
      <c r="O15" s="122" t="s">
        <v>323</v>
      </c>
      <c r="P15" s="122" t="s">
        <v>324</v>
      </c>
    </row>
    <row r="16" spans="1:16" s="124" customFormat="1" ht="12.75">
      <c r="A16" s="123">
        <v>1</v>
      </c>
      <c r="B16" s="123"/>
      <c r="C16" s="125">
        <v>2</v>
      </c>
      <c r="D16" s="123">
        <v>3</v>
      </c>
      <c r="E16" s="123">
        <v>4</v>
      </c>
      <c r="F16" s="123">
        <v>5</v>
      </c>
      <c r="G16" s="123">
        <v>6</v>
      </c>
      <c r="H16" s="123">
        <v>7</v>
      </c>
      <c r="I16" s="123">
        <v>8</v>
      </c>
      <c r="J16" s="123">
        <v>9</v>
      </c>
      <c r="K16" s="123">
        <v>10</v>
      </c>
      <c r="L16" s="123">
        <v>11</v>
      </c>
      <c r="M16" s="123">
        <v>12</v>
      </c>
      <c r="N16" s="123">
        <v>13</v>
      </c>
      <c r="O16" s="123">
        <v>14</v>
      </c>
      <c r="P16" s="123">
        <v>15</v>
      </c>
    </row>
    <row r="17" spans="1:16" s="127" customFormat="1" ht="16.5">
      <c r="A17" s="126"/>
      <c r="B17" s="126"/>
      <c r="C17" s="126"/>
      <c r="D17" s="126"/>
      <c r="E17" s="126"/>
      <c r="F17" s="126"/>
      <c r="G17" s="126"/>
      <c r="H17" s="126"/>
      <c r="I17" s="126"/>
      <c r="J17" s="126"/>
      <c r="K17" s="126"/>
      <c r="L17" s="126"/>
      <c r="M17" s="126"/>
      <c r="N17" s="126"/>
      <c r="O17" s="126"/>
      <c r="P17" s="126"/>
    </row>
    <row r="18" spans="1:16" s="119" customFormat="1" ht="66">
      <c r="A18" s="52"/>
      <c r="B18" s="117"/>
      <c r="C18" s="282" t="s">
        <v>230</v>
      </c>
      <c r="D18" s="52"/>
      <c r="E18" s="48"/>
      <c r="F18" s="49"/>
      <c r="G18" s="49"/>
      <c r="H18" s="49"/>
      <c r="I18" s="49"/>
      <c r="J18" s="49"/>
      <c r="K18" s="50"/>
      <c r="L18" s="50"/>
      <c r="M18" s="50"/>
      <c r="N18" s="50"/>
      <c r="O18" s="50"/>
      <c r="P18" s="50"/>
    </row>
    <row r="19" spans="1:16" s="119" customFormat="1" ht="33">
      <c r="A19" s="52">
        <f>1+A18</f>
        <v>1</v>
      </c>
      <c r="B19" s="117"/>
      <c r="C19" s="118" t="s">
        <v>227</v>
      </c>
      <c r="D19" s="52" t="s">
        <v>199</v>
      </c>
      <c r="E19" s="48">
        <v>135</v>
      </c>
      <c r="F19" s="35"/>
      <c r="G19" s="35"/>
      <c r="H19" s="49"/>
      <c r="I19" s="49"/>
      <c r="J19" s="49"/>
      <c r="K19" s="50"/>
      <c r="L19" s="50"/>
      <c r="M19" s="50"/>
      <c r="N19" s="50"/>
      <c r="O19" s="50"/>
      <c r="P19" s="50"/>
    </row>
    <row r="20" spans="1:16" s="119" customFormat="1" ht="33">
      <c r="A20" s="52">
        <f>1+A19</f>
        <v>2</v>
      </c>
      <c r="B20" s="117"/>
      <c r="C20" s="118" t="s">
        <v>228</v>
      </c>
      <c r="D20" s="52" t="s">
        <v>199</v>
      </c>
      <c r="E20" s="48">
        <v>64</v>
      </c>
      <c r="F20" s="35"/>
      <c r="G20" s="35"/>
      <c r="H20" s="49"/>
      <c r="I20" s="49"/>
      <c r="J20" s="49"/>
      <c r="K20" s="50"/>
      <c r="L20" s="50"/>
      <c r="M20" s="50"/>
      <c r="N20" s="50"/>
      <c r="O20" s="50"/>
      <c r="P20" s="50"/>
    </row>
    <row r="21" spans="1:16" s="119" customFormat="1" ht="33">
      <c r="A21" s="52">
        <f>1+A20</f>
        <v>3</v>
      </c>
      <c r="B21" s="117"/>
      <c r="C21" s="118" t="s">
        <v>229</v>
      </c>
      <c r="D21" s="52" t="s">
        <v>199</v>
      </c>
      <c r="E21" s="48">
        <v>48</v>
      </c>
      <c r="F21" s="35"/>
      <c r="G21" s="35"/>
      <c r="H21" s="49"/>
      <c r="I21" s="49"/>
      <c r="J21" s="49"/>
      <c r="K21" s="50"/>
      <c r="L21" s="50"/>
      <c r="M21" s="50"/>
      <c r="N21" s="50"/>
      <c r="O21" s="50"/>
      <c r="P21" s="50"/>
    </row>
    <row r="22" spans="1:16" s="119" customFormat="1" ht="49.5">
      <c r="A22" s="52">
        <f>1+A21</f>
        <v>4</v>
      </c>
      <c r="B22" s="117"/>
      <c r="C22" s="118" t="s">
        <v>274</v>
      </c>
      <c r="D22" s="52" t="s">
        <v>232</v>
      </c>
      <c r="E22" s="48">
        <v>10</v>
      </c>
      <c r="F22" s="35"/>
      <c r="G22" s="35"/>
      <c r="H22" s="49"/>
      <c r="I22" s="49"/>
      <c r="J22" s="49"/>
      <c r="K22" s="50"/>
      <c r="L22" s="50"/>
      <c r="M22" s="50"/>
      <c r="N22" s="50"/>
      <c r="O22" s="50"/>
      <c r="P22" s="50"/>
    </row>
    <row r="23" spans="1:16" s="119" customFormat="1" ht="16.5">
      <c r="A23" s="52"/>
      <c r="B23" s="117"/>
      <c r="C23" s="298" t="s">
        <v>264</v>
      </c>
      <c r="D23" s="52"/>
      <c r="E23" s="48"/>
      <c r="F23" s="35"/>
      <c r="G23" s="35"/>
      <c r="H23" s="49"/>
      <c r="I23" s="49"/>
      <c r="J23" s="49"/>
      <c r="K23" s="50"/>
      <c r="L23" s="50"/>
      <c r="M23" s="50"/>
      <c r="N23" s="50"/>
      <c r="O23" s="50"/>
      <c r="P23" s="50"/>
    </row>
    <row r="24" spans="1:16" s="119" customFormat="1" ht="33">
      <c r="A24" s="52">
        <f>1+A22</f>
        <v>5</v>
      </c>
      <c r="B24" s="117"/>
      <c r="C24" s="118" t="s">
        <v>265</v>
      </c>
      <c r="D24" s="52" t="s">
        <v>80</v>
      </c>
      <c r="E24" s="48">
        <v>2</v>
      </c>
      <c r="F24" s="35"/>
      <c r="G24" s="35"/>
      <c r="H24" s="49"/>
      <c r="I24" s="49"/>
      <c r="J24" s="49"/>
      <c r="K24" s="50"/>
      <c r="L24" s="50"/>
      <c r="M24" s="50"/>
      <c r="N24" s="50"/>
      <c r="O24" s="50"/>
      <c r="P24" s="50"/>
    </row>
    <row r="25" spans="1:16" s="119" customFormat="1" ht="33">
      <c r="A25" s="52">
        <f>1+A24</f>
        <v>6</v>
      </c>
      <c r="B25" s="117"/>
      <c r="C25" s="118" t="s">
        <v>266</v>
      </c>
      <c r="D25" s="52" t="s">
        <v>80</v>
      </c>
      <c r="E25" s="48">
        <v>1</v>
      </c>
      <c r="F25" s="35"/>
      <c r="G25" s="35"/>
      <c r="H25" s="49"/>
      <c r="I25" s="49"/>
      <c r="J25" s="49"/>
      <c r="K25" s="50"/>
      <c r="L25" s="50"/>
      <c r="M25" s="50"/>
      <c r="N25" s="50"/>
      <c r="O25" s="50"/>
      <c r="P25" s="50"/>
    </row>
    <row r="26" spans="1:16" s="119" customFormat="1" ht="33">
      <c r="A26" s="52">
        <f>1+A25</f>
        <v>7</v>
      </c>
      <c r="B26" s="117"/>
      <c r="C26" s="118" t="s">
        <v>265</v>
      </c>
      <c r="D26" s="52" t="s">
        <v>80</v>
      </c>
      <c r="E26" s="48">
        <v>1</v>
      </c>
      <c r="F26" s="35"/>
      <c r="G26" s="35"/>
      <c r="H26" s="49"/>
      <c r="I26" s="49"/>
      <c r="J26" s="49"/>
      <c r="K26" s="50"/>
      <c r="L26" s="50"/>
      <c r="M26" s="50"/>
      <c r="N26" s="50"/>
      <c r="O26" s="50"/>
      <c r="P26" s="50"/>
    </row>
    <row r="27" spans="1:16" s="119" customFormat="1" ht="33">
      <c r="A27" s="52">
        <f>1+A26</f>
        <v>8</v>
      </c>
      <c r="B27" s="117"/>
      <c r="C27" s="118" t="s">
        <v>267</v>
      </c>
      <c r="D27" s="52" t="s">
        <v>80</v>
      </c>
      <c r="E27" s="48">
        <v>4</v>
      </c>
      <c r="F27" s="35"/>
      <c r="G27" s="35"/>
      <c r="H27" s="49"/>
      <c r="I27" s="49"/>
      <c r="J27" s="49"/>
      <c r="K27" s="50"/>
      <c r="L27" s="50"/>
      <c r="M27" s="50"/>
      <c r="N27" s="50"/>
      <c r="O27" s="50"/>
      <c r="P27" s="50"/>
    </row>
    <row r="28" spans="1:16" s="119" customFormat="1" ht="16.5">
      <c r="A28" s="52"/>
      <c r="B28" s="117"/>
      <c r="C28" s="298" t="s">
        <v>268</v>
      </c>
      <c r="D28" s="52"/>
      <c r="E28" s="48"/>
      <c r="F28" s="35"/>
      <c r="G28" s="35"/>
      <c r="H28" s="49"/>
      <c r="I28" s="49"/>
      <c r="J28" s="49"/>
      <c r="K28" s="50"/>
      <c r="L28" s="50"/>
      <c r="M28" s="50"/>
      <c r="N28" s="50"/>
      <c r="O28" s="50"/>
      <c r="P28" s="50"/>
    </row>
    <row r="29" spans="1:16" s="119" customFormat="1" ht="33">
      <c r="A29" s="52">
        <f>1+A22</f>
        <v>5</v>
      </c>
      <c r="B29" s="117"/>
      <c r="C29" s="118" t="s">
        <v>269</v>
      </c>
      <c r="D29" s="52" t="s">
        <v>80</v>
      </c>
      <c r="E29" s="48">
        <v>4</v>
      </c>
      <c r="F29" s="35"/>
      <c r="G29" s="35"/>
      <c r="H29" s="49"/>
      <c r="I29" s="49"/>
      <c r="J29" s="49"/>
      <c r="K29" s="50"/>
      <c r="L29" s="50"/>
      <c r="M29" s="50"/>
      <c r="N29" s="50"/>
      <c r="O29" s="50"/>
      <c r="P29" s="50"/>
    </row>
    <row r="30" spans="1:16" s="119" customFormat="1" ht="16.5">
      <c r="A30" s="52">
        <f>1+A29</f>
        <v>6</v>
      </c>
      <c r="B30" s="117"/>
      <c r="C30" s="118" t="s">
        <v>270</v>
      </c>
      <c r="D30" s="52" t="s">
        <v>80</v>
      </c>
      <c r="E30" s="48">
        <v>4</v>
      </c>
      <c r="F30" s="35"/>
      <c r="G30" s="35"/>
      <c r="H30" s="49"/>
      <c r="I30" s="49"/>
      <c r="J30" s="49"/>
      <c r="K30" s="50"/>
      <c r="L30" s="50"/>
      <c r="M30" s="50"/>
      <c r="N30" s="50"/>
      <c r="O30" s="50"/>
      <c r="P30" s="50"/>
    </row>
    <row r="31" spans="1:16" s="119" customFormat="1" ht="16.5">
      <c r="A31" s="52"/>
      <c r="B31" s="117"/>
      <c r="C31" s="298" t="s">
        <v>271</v>
      </c>
      <c r="D31" s="52"/>
      <c r="E31" s="48"/>
      <c r="F31" s="35"/>
      <c r="G31" s="35"/>
      <c r="H31" s="49"/>
      <c r="I31" s="49"/>
      <c r="J31" s="49"/>
      <c r="K31" s="50"/>
      <c r="L31" s="50"/>
      <c r="M31" s="50"/>
      <c r="N31" s="50"/>
      <c r="O31" s="50"/>
      <c r="P31" s="50"/>
    </row>
    <row r="32" spans="1:16" s="119" customFormat="1" ht="33">
      <c r="A32" s="52">
        <f>1+A30</f>
        <v>7</v>
      </c>
      <c r="B32" s="117"/>
      <c r="C32" s="118" t="s">
        <v>272</v>
      </c>
      <c r="D32" s="52" t="s">
        <v>80</v>
      </c>
      <c r="E32" s="48">
        <v>4</v>
      </c>
      <c r="F32" s="35"/>
      <c r="G32" s="35"/>
      <c r="H32" s="49"/>
      <c r="I32" s="49"/>
      <c r="J32" s="49"/>
      <c r="K32" s="50"/>
      <c r="L32" s="50"/>
      <c r="M32" s="50"/>
      <c r="N32" s="50"/>
      <c r="O32" s="50"/>
      <c r="P32" s="50"/>
    </row>
    <row r="33" spans="1:16" s="119" customFormat="1" ht="16.5">
      <c r="A33" s="52"/>
      <c r="B33" s="117"/>
      <c r="C33" s="298" t="s">
        <v>233</v>
      </c>
      <c r="D33" s="52"/>
      <c r="E33" s="48"/>
      <c r="F33" s="35"/>
      <c r="G33" s="35"/>
      <c r="H33" s="49"/>
      <c r="I33" s="49"/>
      <c r="J33" s="49"/>
      <c r="K33" s="50"/>
      <c r="L33" s="50"/>
      <c r="M33" s="50"/>
      <c r="N33" s="50"/>
      <c r="O33" s="50"/>
      <c r="P33" s="50"/>
    </row>
    <row r="34" spans="1:16" s="119" customFormat="1" ht="16.5">
      <c r="A34" s="52">
        <f>1+A32</f>
        <v>8</v>
      </c>
      <c r="B34" s="117"/>
      <c r="C34" s="118" t="s">
        <v>275</v>
      </c>
      <c r="D34" s="52" t="s">
        <v>21</v>
      </c>
      <c r="E34" s="48">
        <v>100</v>
      </c>
      <c r="F34" s="35"/>
      <c r="G34" s="35"/>
      <c r="H34" s="49"/>
      <c r="I34" s="49"/>
      <c r="J34" s="49"/>
      <c r="K34" s="50"/>
      <c r="L34" s="50"/>
      <c r="M34" s="50"/>
      <c r="N34" s="50"/>
      <c r="O34" s="50"/>
      <c r="P34" s="50"/>
    </row>
    <row r="35" spans="1:16" s="119" customFormat="1" ht="16.5">
      <c r="A35" s="52">
        <f>1+A34</f>
        <v>9</v>
      </c>
      <c r="B35" s="117"/>
      <c r="C35" s="118" t="s">
        <v>276</v>
      </c>
      <c r="D35" s="52" t="s">
        <v>21</v>
      </c>
      <c r="E35" s="48">
        <v>135</v>
      </c>
      <c r="F35" s="35"/>
      <c r="G35" s="35"/>
      <c r="H35" s="49"/>
      <c r="I35" s="49"/>
      <c r="J35" s="49"/>
      <c r="K35" s="50"/>
      <c r="L35" s="50"/>
      <c r="M35" s="50"/>
      <c r="N35" s="50"/>
      <c r="O35" s="50"/>
      <c r="P35" s="50"/>
    </row>
    <row r="36" spans="1:16" s="119" customFormat="1" ht="16.5">
      <c r="A36" s="52">
        <f>1+A35</f>
        <v>10</v>
      </c>
      <c r="B36" s="117"/>
      <c r="C36" s="118" t="s">
        <v>277</v>
      </c>
      <c r="D36" s="52" t="s">
        <v>21</v>
      </c>
      <c r="E36" s="48">
        <v>150</v>
      </c>
      <c r="F36" s="35"/>
      <c r="G36" s="35"/>
      <c r="H36" s="49"/>
      <c r="I36" s="49"/>
      <c r="J36" s="49"/>
      <c r="K36" s="50"/>
      <c r="L36" s="50"/>
      <c r="M36" s="50"/>
      <c r="N36" s="50"/>
      <c r="O36" s="50"/>
      <c r="P36" s="50"/>
    </row>
    <row r="37" spans="1:16" s="119" customFormat="1" ht="16.5">
      <c r="A37" s="52">
        <f>1+A36</f>
        <v>11</v>
      </c>
      <c r="B37" s="117"/>
      <c r="C37" s="118" t="s">
        <v>278</v>
      </c>
      <c r="D37" s="52" t="s">
        <v>21</v>
      </c>
      <c r="E37" s="48">
        <v>145</v>
      </c>
      <c r="F37" s="35"/>
      <c r="G37" s="35"/>
      <c r="H37" s="49"/>
      <c r="I37" s="49"/>
      <c r="J37" s="49"/>
      <c r="K37" s="50"/>
      <c r="L37" s="50"/>
      <c r="M37" s="50"/>
      <c r="N37" s="50"/>
      <c r="O37" s="50"/>
      <c r="P37" s="50"/>
    </row>
    <row r="38" spans="1:16" s="119" customFormat="1" ht="16.5">
      <c r="A38" s="52">
        <f>1+A37</f>
        <v>12</v>
      </c>
      <c r="B38" s="117"/>
      <c r="C38" s="118" t="s">
        <v>279</v>
      </c>
      <c r="D38" s="52" t="s">
        <v>21</v>
      </c>
      <c r="E38" s="48">
        <v>80</v>
      </c>
      <c r="F38" s="35"/>
      <c r="G38" s="35"/>
      <c r="H38" s="49"/>
      <c r="I38" s="49"/>
      <c r="J38" s="49"/>
      <c r="K38" s="50"/>
      <c r="L38" s="50"/>
      <c r="M38" s="50"/>
      <c r="N38" s="50"/>
      <c r="O38" s="50"/>
      <c r="P38" s="50"/>
    </row>
    <row r="39" spans="1:16" s="119" customFormat="1" ht="16.5">
      <c r="A39" s="52">
        <f>1+A38</f>
        <v>13</v>
      </c>
      <c r="B39" s="117"/>
      <c r="C39" s="118" t="s">
        <v>273</v>
      </c>
      <c r="D39" s="52" t="s">
        <v>21</v>
      </c>
      <c r="E39" s="48">
        <v>230</v>
      </c>
      <c r="F39" s="35"/>
      <c r="G39" s="35"/>
      <c r="H39" s="49"/>
      <c r="I39" s="49"/>
      <c r="J39" s="49"/>
      <c r="K39" s="50"/>
      <c r="L39" s="50"/>
      <c r="M39" s="50"/>
      <c r="N39" s="50"/>
      <c r="O39" s="50"/>
      <c r="P39" s="50"/>
    </row>
    <row r="40" spans="1:16" s="119" customFormat="1" ht="16.5">
      <c r="A40" s="52"/>
      <c r="B40" s="117"/>
      <c r="C40" s="298" t="s">
        <v>234</v>
      </c>
      <c r="D40" s="52"/>
      <c r="E40" s="48"/>
      <c r="F40" s="35"/>
      <c r="G40" s="35"/>
      <c r="H40" s="49"/>
      <c r="I40" s="49"/>
      <c r="J40" s="49"/>
      <c r="K40" s="50"/>
      <c r="L40" s="50"/>
      <c r="M40" s="50"/>
      <c r="N40" s="50"/>
      <c r="O40" s="50"/>
      <c r="P40" s="50"/>
    </row>
    <row r="41" spans="1:16" s="119" customFormat="1" ht="16.5">
      <c r="A41" s="52">
        <f>1+A39</f>
        <v>14</v>
      </c>
      <c r="B41" s="117"/>
      <c r="C41" s="118" t="s">
        <v>235</v>
      </c>
      <c r="D41" s="52" t="s">
        <v>21</v>
      </c>
      <c r="E41" s="48">
        <v>760</v>
      </c>
      <c r="F41" s="35"/>
      <c r="G41" s="35"/>
      <c r="H41" s="49"/>
      <c r="I41" s="49"/>
      <c r="J41" s="49"/>
      <c r="K41" s="50"/>
      <c r="L41" s="50"/>
      <c r="M41" s="50"/>
      <c r="N41" s="50"/>
      <c r="O41" s="50"/>
      <c r="P41" s="50"/>
    </row>
    <row r="42" spans="1:16" s="119" customFormat="1" ht="16.5">
      <c r="A42" s="52">
        <f>1+A41</f>
        <v>15</v>
      </c>
      <c r="B42" s="117"/>
      <c r="C42" s="118" t="s">
        <v>236</v>
      </c>
      <c r="D42" s="52" t="s">
        <v>21</v>
      </c>
      <c r="E42" s="48">
        <v>80</v>
      </c>
      <c r="F42" s="35"/>
      <c r="G42" s="35"/>
      <c r="H42" s="49"/>
      <c r="I42" s="49"/>
      <c r="J42" s="49"/>
      <c r="K42" s="50"/>
      <c r="L42" s="50"/>
      <c r="M42" s="50"/>
      <c r="N42" s="50"/>
      <c r="O42" s="50"/>
      <c r="P42" s="50"/>
    </row>
    <row r="43" spans="1:16" s="65" customFormat="1" ht="17.25" thickBot="1">
      <c r="A43" s="38"/>
      <c r="B43" s="58"/>
      <c r="C43" s="59"/>
      <c r="D43" s="59"/>
      <c r="E43" s="59"/>
      <c r="F43" s="60"/>
      <c r="G43" s="61"/>
      <c r="H43" s="61"/>
      <c r="I43" s="62"/>
      <c r="J43" s="62"/>
      <c r="K43" s="63"/>
      <c r="L43" s="63"/>
      <c r="M43" s="64"/>
      <c r="N43" s="64"/>
      <c r="O43" s="64"/>
      <c r="P43" s="64"/>
    </row>
    <row r="44" spans="1:16" s="135" customFormat="1" ht="16.5">
      <c r="A44" s="128"/>
      <c r="B44" s="129"/>
      <c r="C44" s="130" t="s">
        <v>35</v>
      </c>
      <c r="D44" s="129" t="s">
        <v>326</v>
      </c>
      <c r="E44" s="129"/>
      <c r="F44" s="129"/>
      <c r="G44" s="131"/>
      <c r="H44" s="132"/>
      <c r="I44" s="131"/>
      <c r="J44" s="131"/>
      <c r="K44" s="131"/>
      <c r="L44" s="133">
        <f>SUM(L17:L43)</f>
        <v>0</v>
      </c>
      <c r="M44" s="133">
        <f>SUM(M17:M43)</f>
        <v>0</v>
      </c>
      <c r="N44" s="133">
        <f>SUM(N17:N43)</f>
        <v>0</v>
      </c>
      <c r="O44" s="133">
        <f>SUM(O17:O43)</f>
        <v>0</v>
      </c>
      <c r="P44" s="134">
        <f>SUM(M44:O44)</f>
        <v>0</v>
      </c>
    </row>
    <row r="45" spans="1:16" s="28" customFormat="1" ht="16.5">
      <c r="A45" s="343" t="s">
        <v>327</v>
      </c>
      <c r="B45" s="343"/>
      <c r="C45" s="343"/>
      <c r="D45" s="343"/>
      <c r="E45" s="343"/>
      <c r="F45" s="343"/>
      <c r="G45" s="343"/>
      <c r="H45" s="343"/>
      <c r="I45" s="343"/>
      <c r="J45" s="343"/>
      <c r="K45" s="343"/>
      <c r="L45" s="74"/>
      <c r="M45" s="74"/>
      <c r="N45" s="74">
        <f>ROUND(N44*0.05,2)</f>
        <v>0</v>
      </c>
      <c r="O45" s="74"/>
      <c r="P45" s="75">
        <f>SUM(M45:O45)</f>
        <v>0</v>
      </c>
    </row>
    <row r="46" spans="1:16" s="78" customFormat="1" ht="17.25" thickBot="1">
      <c r="A46" s="349" t="s">
        <v>36</v>
      </c>
      <c r="B46" s="349"/>
      <c r="C46" s="349"/>
      <c r="D46" s="349"/>
      <c r="E46" s="349"/>
      <c r="F46" s="349"/>
      <c r="G46" s="349"/>
      <c r="H46" s="349"/>
      <c r="I46" s="349"/>
      <c r="J46" s="349"/>
      <c r="K46" s="349"/>
      <c r="L46" s="76">
        <f>SUM(L44:L45)</f>
        <v>0</v>
      </c>
      <c r="M46" s="76">
        <f>SUM(M44:M45)</f>
        <v>0</v>
      </c>
      <c r="N46" s="76">
        <f>SUM(N44:N45)</f>
        <v>0</v>
      </c>
      <c r="O46" s="76">
        <f>SUM(O44:O45)</f>
        <v>0</v>
      </c>
      <c r="P46" s="77">
        <f>SUM(M46:O46)</f>
        <v>0</v>
      </c>
    </row>
    <row r="47" spans="1:15" s="82" customFormat="1" ht="16.5">
      <c r="A47" s="79"/>
      <c r="B47" s="79"/>
      <c r="C47" s="80"/>
      <c r="D47" s="81"/>
      <c r="E47" s="81"/>
      <c r="F47" s="81"/>
      <c r="G47" s="81"/>
      <c r="H47" s="81"/>
      <c r="I47" s="81"/>
      <c r="J47" s="81"/>
      <c r="K47" s="81"/>
      <c r="L47" s="80"/>
      <c r="M47" s="80"/>
      <c r="N47" s="80"/>
      <c r="O47" s="80"/>
    </row>
    <row r="48" spans="1:15" s="82" customFormat="1" ht="16.5">
      <c r="A48" s="350" t="s">
        <v>310</v>
      </c>
      <c r="B48" s="350"/>
      <c r="C48" s="350"/>
      <c r="D48" s="350"/>
      <c r="E48" s="350"/>
      <c r="F48" s="350"/>
      <c r="G48" s="350"/>
      <c r="H48" s="80"/>
      <c r="I48" s="351" t="s">
        <v>37</v>
      </c>
      <c r="J48" s="351"/>
      <c r="K48" s="351"/>
      <c r="L48" s="351"/>
      <c r="M48" s="351"/>
      <c r="N48" s="351"/>
      <c r="O48" s="351"/>
    </row>
    <row r="49" spans="1:15" s="82" customFormat="1" ht="16.5">
      <c r="A49" s="352" t="s">
        <v>311</v>
      </c>
      <c r="B49" s="352"/>
      <c r="C49" s="352"/>
      <c r="D49" s="83"/>
      <c r="E49" s="83"/>
      <c r="F49" s="83"/>
      <c r="G49" s="83"/>
      <c r="H49" s="80"/>
      <c r="I49" s="353" t="s">
        <v>38</v>
      </c>
      <c r="J49" s="353"/>
      <c r="K49" s="353"/>
      <c r="L49" s="353"/>
      <c r="M49" s="353"/>
      <c r="N49" s="353"/>
      <c r="O49" s="353"/>
    </row>
  </sheetData>
  <sheetProtection/>
  <mergeCells count="29">
    <mergeCell ref="A49:C49"/>
    <mergeCell ref="I49:O49"/>
    <mergeCell ref="E14:E15"/>
    <mergeCell ref="F14:K14"/>
    <mergeCell ref="L14:P14"/>
    <mergeCell ref="A14:A15"/>
    <mergeCell ref="A48:G48"/>
    <mergeCell ref="I48:O48"/>
    <mergeCell ref="A45:K45"/>
    <mergeCell ref="B14:B15"/>
    <mergeCell ref="C14:C15"/>
    <mergeCell ref="D14:D15"/>
    <mergeCell ref="A6:C6"/>
    <mergeCell ref="D6:P6"/>
    <mergeCell ref="A7:C7"/>
    <mergeCell ref="D7:P7"/>
    <mergeCell ref="A12:D12"/>
    <mergeCell ref="A9:B9"/>
    <mergeCell ref="C9:P9"/>
    <mergeCell ref="A46:K46"/>
    <mergeCell ref="O10:P10"/>
    <mergeCell ref="A11:P11"/>
    <mergeCell ref="A1:P1"/>
    <mergeCell ref="A2:P2"/>
    <mergeCell ref="A3:P3"/>
    <mergeCell ref="A5:C5"/>
    <mergeCell ref="D5:P5"/>
    <mergeCell ref="A8:C8"/>
    <mergeCell ref="D8:P8"/>
  </mergeCells>
  <printOptions/>
  <pageMargins left="0.25" right="0.25" top="0.5" bottom="0.5" header="0.3" footer="0.3"/>
  <pageSetup horizontalDpi="600" verticalDpi="600" orientation="landscape" scale="79" r:id="rId1"/>
</worksheet>
</file>

<file path=xl/worksheets/sheet7.xml><?xml version="1.0" encoding="utf-8"?>
<worksheet xmlns="http://schemas.openxmlformats.org/spreadsheetml/2006/main" xmlns:r="http://schemas.openxmlformats.org/officeDocument/2006/relationships">
  <dimension ref="A1:P134"/>
  <sheetViews>
    <sheetView showZeros="0" zoomScale="75" zoomScaleNormal="75" zoomScalePageLayoutView="0" workbookViewId="0" topLeftCell="A1">
      <selection activeCell="C9" sqref="C9:P9"/>
    </sheetView>
  </sheetViews>
  <sheetFormatPr defaultColWidth="7.140625" defaultRowHeight="15"/>
  <cols>
    <col min="1" max="1" width="5.7109375" style="84" customWidth="1"/>
    <col min="2" max="2" width="5.28125" style="84" customWidth="1"/>
    <col min="3" max="3" width="39.8515625" style="84" customWidth="1"/>
    <col min="4" max="4" width="7.7109375" style="84" customWidth="1"/>
    <col min="5" max="5" width="8.421875" style="85" customWidth="1"/>
    <col min="6" max="6" width="9.28125" style="84" customWidth="1"/>
    <col min="7" max="7" width="9.140625" style="86" customWidth="1"/>
    <col min="8" max="11" width="9.140625" style="84" customWidth="1"/>
    <col min="12" max="16" width="8.8515625" style="84" customWidth="1"/>
    <col min="17" max="228" width="9.140625" style="84" customWidth="1"/>
    <col min="229" max="16384" width="7.140625" style="84" customWidth="1"/>
  </cols>
  <sheetData>
    <row r="1" spans="1:16" s="1" customFormat="1" ht="18">
      <c r="A1" s="337" t="s">
        <v>308</v>
      </c>
      <c r="B1" s="337"/>
      <c r="C1" s="337"/>
      <c r="D1" s="337"/>
      <c r="E1" s="337"/>
      <c r="F1" s="337"/>
      <c r="G1" s="337"/>
      <c r="H1" s="337"/>
      <c r="I1" s="337"/>
      <c r="J1" s="337"/>
      <c r="K1" s="337"/>
      <c r="L1" s="337"/>
      <c r="M1" s="337"/>
      <c r="N1" s="337"/>
      <c r="O1" s="337"/>
      <c r="P1" s="337"/>
    </row>
    <row r="2" spans="1:16" s="2" customFormat="1" ht="18">
      <c r="A2" s="338" t="s">
        <v>143</v>
      </c>
      <c r="B2" s="338"/>
      <c r="C2" s="338"/>
      <c r="D2" s="338"/>
      <c r="E2" s="338"/>
      <c r="F2" s="338"/>
      <c r="G2" s="338"/>
      <c r="H2" s="338"/>
      <c r="I2" s="338"/>
      <c r="J2" s="338"/>
      <c r="K2" s="338"/>
      <c r="L2" s="338"/>
      <c r="M2" s="338"/>
      <c r="N2" s="338"/>
      <c r="O2" s="338"/>
      <c r="P2" s="338"/>
    </row>
    <row r="3" spans="1:16" s="3" customFormat="1" ht="12.75">
      <c r="A3" s="339" t="s">
        <v>2</v>
      </c>
      <c r="B3" s="339"/>
      <c r="C3" s="339"/>
      <c r="D3" s="339"/>
      <c r="E3" s="339"/>
      <c r="F3" s="339"/>
      <c r="G3" s="339"/>
      <c r="H3" s="339"/>
      <c r="I3" s="339"/>
      <c r="J3" s="339"/>
      <c r="K3" s="339"/>
      <c r="L3" s="339"/>
      <c r="M3" s="339"/>
      <c r="N3" s="339"/>
      <c r="O3" s="339"/>
      <c r="P3" s="339"/>
    </row>
    <row r="4" spans="1:16" s="9" customFormat="1" ht="15.75">
      <c r="A4" s="4"/>
      <c r="B4" s="5"/>
      <c r="C4" s="6"/>
      <c r="D4" s="7"/>
      <c r="E4" s="5"/>
      <c r="F4" s="4"/>
      <c r="G4" s="4"/>
      <c r="H4" s="4"/>
      <c r="I4" s="4"/>
      <c r="J4" s="4"/>
      <c r="K4" s="4"/>
      <c r="L4" s="4"/>
      <c r="M4" s="8"/>
      <c r="N4" s="8"/>
      <c r="O4" s="8"/>
      <c r="P4" s="8"/>
    </row>
    <row r="5" spans="1:16" s="10" customFormat="1" ht="14.25" customHeight="1">
      <c r="A5" s="340" t="s">
        <v>3</v>
      </c>
      <c r="B5" s="340"/>
      <c r="C5" s="340"/>
      <c r="D5" s="341" t="s">
        <v>359</v>
      </c>
      <c r="E5" s="341"/>
      <c r="F5" s="341"/>
      <c r="G5" s="341"/>
      <c r="H5" s="341"/>
      <c r="I5" s="341"/>
      <c r="J5" s="341"/>
      <c r="K5" s="341"/>
      <c r="L5" s="341"/>
      <c r="M5" s="341"/>
      <c r="N5" s="341"/>
      <c r="O5" s="341"/>
      <c r="P5" s="341"/>
    </row>
    <row r="6" spans="1:16" s="10" customFormat="1" ht="14.25" customHeight="1">
      <c r="A6" s="340" t="s">
        <v>4</v>
      </c>
      <c r="B6" s="340"/>
      <c r="C6" s="340"/>
      <c r="D6" s="341" t="s">
        <v>360</v>
      </c>
      <c r="E6" s="341"/>
      <c r="F6" s="341"/>
      <c r="G6" s="341"/>
      <c r="H6" s="341"/>
      <c r="I6" s="341"/>
      <c r="J6" s="341"/>
      <c r="K6" s="341"/>
      <c r="L6" s="341"/>
      <c r="M6" s="341"/>
      <c r="N6" s="341"/>
      <c r="O6" s="341"/>
      <c r="P6" s="341"/>
    </row>
    <row r="7" spans="1:16" s="10" customFormat="1" ht="16.5">
      <c r="A7" s="335" t="s">
        <v>5</v>
      </c>
      <c r="B7" s="335"/>
      <c r="C7" s="335"/>
      <c r="D7" s="341" t="s">
        <v>197</v>
      </c>
      <c r="E7" s="341"/>
      <c r="F7" s="341"/>
      <c r="G7" s="341"/>
      <c r="H7" s="341"/>
      <c r="I7" s="341"/>
      <c r="J7" s="341"/>
      <c r="K7" s="341"/>
      <c r="L7" s="341"/>
      <c r="M7" s="341"/>
      <c r="N7" s="341"/>
      <c r="O7" s="341"/>
      <c r="P7" s="341"/>
    </row>
    <row r="8" spans="1:16" s="10" customFormat="1" ht="16.5" customHeight="1">
      <c r="A8" s="335" t="s">
        <v>6</v>
      </c>
      <c r="B8" s="335"/>
      <c r="C8" s="335"/>
      <c r="D8" s="342" t="s">
        <v>198</v>
      </c>
      <c r="E8" s="342"/>
      <c r="F8" s="342"/>
      <c r="G8" s="342"/>
      <c r="H8" s="342"/>
      <c r="I8" s="342"/>
      <c r="J8" s="342"/>
      <c r="K8" s="342"/>
      <c r="L8" s="342"/>
      <c r="M8" s="342"/>
      <c r="N8" s="342"/>
      <c r="O8" s="342"/>
      <c r="P8" s="342"/>
    </row>
    <row r="9" spans="1:16" s="10" customFormat="1" ht="58.5" customHeight="1">
      <c r="A9" s="362" t="s">
        <v>314</v>
      </c>
      <c r="B9" s="362"/>
      <c r="C9" s="362" t="s">
        <v>315</v>
      </c>
      <c r="D9" s="362"/>
      <c r="E9" s="362"/>
      <c r="F9" s="362"/>
      <c r="G9" s="362"/>
      <c r="H9" s="362"/>
      <c r="I9" s="362"/>
      <c r="J9" s="362"/>
      <c r="K9" s="362"/>
      <c r="L9" s="362"/>
      <c r="M9" s="362"/>
      <c r="N9" s="362"/>
      <c r="O9" s="362"/>
      <c r="P9" s="362"/>
    </row>
    <row r="10" spans="1:16" s="217" customFormat="1" ht="54" customHeight="1">
      <c r="A10" s="17" t="s">
        <v>343</v>
      </c>
      <c r="B10" s="17"/>
      <c r="C10" s="17"/>
      <c r="D10" s="17"/>
      <c r="E10" s="17"/>
      <c r="F10" s="12"/>
      <c r="G10" s="12"/>
      <c r="H10" s="12"/>
      <c r="I10" s="12"/>
      <c r="J10" s="12"/>
      <c r="K10" s="12"/>
      <c r="L10" s="18"/>
      <c r="M10" s="18" t="s">
        <v>7</v>
      </c>
      <c r="N10" s="19"/>
      <c r="O10" s="336"/>
      <c r="P10" s="336"/>
    </row>
    <row r="11" spans="1:16" s="16" customFormat="1" ht="16.5">
      <c r="A11" s="345" t="s">
        <v>313</v>
      </c>
      <c r="B11" s="345"/>
      <c r="C11" s="345"/>
      <c r="D11" s="345"/>
      <c r="E11" s="345"/>
      <c r="F11" s="345"/>
      <c r="G11" s="345"/>
      <c r="H11" s="345"/>
      <c r="I11" s="345"/>
      <c r="J11" s="345"/>
      <c r="K11" s="345"/>
      <c r="L11" s="345"/>
      <c r="M11" s="345"/>
      <c r="N11" s="345"/>
      <c r="O11" s="345"/>
      <c r="P11" s="345"/>
    </row>
    <row r="12" spans="1:16" s="11" customFormat="1" ht="16.5">
      <c r="A12" s="346"/>
      <c r="B12" s="346"/>
      <c r="C12" s="346"/>
      <c r="D12" s="346"/>
      <c r="E12" s="20"/>
      <c r="F12" s="21"/>
      <c r="G12" s="21"/>
      <c r="H12" s="21"/>
      <c r="I12" s="21"/>
      <c r="J12" s="21"/>
      <c r="K12" s="21"/>
      <c r="L12" s="21"/>
      <c r="M12" s="22"/>
      <c r="N12" s="22"/>
      <c r="O12" s="22"/>
      <c r="P12" s="23"/>
    </row>
    <row r="13" spans="1:16" s="11" customFormat="1" ht="16.5" hidden="1">
      <c r="A13" s="24"/>
      <c r="B13" s="24"/>
      <c r="C13" s="25"/>
      <c r="D13" s="25"/>
      <c r="E13" s="26"/>
      <c r="F13" s="24"/>
      <c r="G13" s="24"/>
      <c r="H13" s="24"/>
      <c r="I13" s="24"/>
      <c r="J13" s="24"/>
      <c r="K13" s="24"/>
      <c r="L13" s="24"/>
      <c r="M13" s="27"/>
      <c r="N13" s="27"/>
      <c r="O13" s="27"/>
      <c r="P13" s="27"/>
    </row>
    <row r="14" spans="1:16" s="28" customFormat="1" ht="16.5">
      <c r="A14" s="354" t="s">
        <v>8</v>
      </c>
      <c r="B14" s="354" t="s">
        <v>9</v>
      </c>
      <c r="C14" s="361" t="s">
        <v>10</v>
      </c>
      <c r="D14" s="354" t="s">
        <v>11</v>
      </c>
      <c r="E14" s="354" t="s">
        <v>12</v>
      </c>
      <c r="F14" s="354" t="s">
        <v>13</v>
      </c>
      <c r="G14" s="354"/>
      <c r="H14" s="354"/>
      <c r="I14" s="354"/>
      <c r="J14" s="354"/>
      <c r="K14" s="354"/>
      <c r="L14" s="354" t="s">
        <v>325</v>
      </c>
      <c r="M14" s="354"/>
      <c r="N14" s="354"/>
      <c r="O14" s="354"/>
      <c r="P14" s="354"/>
    </row>
    <row r="15" spans="1:16" s="124" customFormat="1" ht="51">
      <c r="A15" s="354"/>
      <c r="B15" s="354"/>
      <c r="C15" s="361"/>
      <c r="D15" s="354"/>
      <c r="E15" s="354"/>
      <c r="F15" s="122" t="s">
        <v>14</v>
      </c>
      <c r="G15" s="122" t="s">
        <v>344</v>
      </c>
      <c r="H15" s="122" t="s">
        <v>317</v>
      </c>
      <c r="I15" s="122" t="s">
        <v>318</v>
      </c>
      <c r="J15" s="122" t="s">
        <v>319</v>
      </c>
      <c r="K15" s="122" t="s">
        <v>320</v>
      </c>
      <c r="L15" s="122" t="s">
        <v>16</v>
      </c>
      <c r="M15" s="122" t="s">
        <v>321</v>
      </c>
      <c r="N15" s="122" t="s">
        <v>322</v>
      </c>
      <c r="O15" s="122" t="s">
        <v>323</v>
      </c>
      <c r="P15" s="122" t="s">
        <v>324</v>
      </c>
    </row>
    <row r="16" spans="1:16" s="124" customFormat="1" ht="12.75">
      <c r="A16" s="123">
        <v>1</v>
      </c>
      <c r="B16" s="123"/>
      <c r="C16" s="125">
        <v>2</v>
      </c>
      <c r="D16" s="123">
        <v>3</v>
      </c>
      <c r="E16" s="123">
        <v>4</v>
      </c>
      <c r="F16" s="123">
        <v>5</v>
      </c>
      <c r="G16" s="123">
        <v>6</v>
      </c>
      <c r="H16" s="123">
        <v>7</v>
      </c>
      <c r="I16" s="123">
        <v>8</v>
      </c>
      <c r="J16" s="123">
        <v>9</v>
      </c>
      <c r="K16" s="123">
        <v>10</v>
      </c>
      <c r="L16" s="123">
        <v>11</v>
      </c>
      <c r="M16" s="123">
        <v>12</v>
      </c>
      <c r="N16" s="123">
        <v>13</v>
      </c>
      <c r="O16" s="123">
        <v>14</v>
      </c>
      <c r="P16" s="123">
        <v>15</v>
      </c>
    </row>
    <row r="17" spans="1:16" s="124" customFormat="1" ht="16.5">
      <c r="A17" s="126"/>
      <c r="B17" s="126"/>
      <c r="C17" s="126"/>
      <c r="D17" s="126"/>
      <c r="E17" s="126"/>
      <c r="F17" s="126"/>
      <c r="G17" s="126"/>
      <c r="H17" s="126"/>
      <c r="I17" s="126"/>
      <c r="J17" s="126"/>
      <c r="K17" s="126"/>
      <c r="L17" s="126"/>
      <c r="M17" s="126"/>
      <c r="N17" s="126"/>
      <c r="O17" s="126"/>
      <c r="P17" s="126"/>
    </row>
    <row r="18" spans="1:16" s="127" customFormat="1" ht="49.5">
      <c r="A18" s="52"/>
      <c r="B18" s="117"/>
      <c r="C18" s="292" t="s">
        <v>161</v>
      </c>
      <c r="D18" s="52"/>
      <c r="E18" s="48"/>
      <c r="F18" s="49"/>
      <c r="G18" s="35"/>
      <c r="H18" s="49"/>
      <c r="I18" s="49"/>
      <c r="J18" s="49"/>
      <c r="K18" s="36"/>
      <c r="L18" s="36"/>
      <c r="M18" s="36"/>
      <c r="N18" s="36"/>
      <c r="O18" s="36"/>
      <c r="P18" s="36"/>
    </row>
    <row r="19" spans="1:16" s="119" customFormat="1" ht="16.5">
      <c r="A19" s="284"/>
      <c r="B19" s="284"/>
      <c r="C19" s="285" t="s">
        <v>238</v>
      </c>
      <c r="D19" s="286"/>
      <c r="E19" s="286"/>
      <c r="F19" s="287"/>
      <c r="G19" s="35"/>
      <c r="H19" s="49"/>
      <c r="I19" s="288"/>
      <c r="J19" s="288"/>
      <c r="K19" s="36">
        <f aca="true" t="shared" si="0" ref="K19:K79">SUM(H19:J19)</f>
        <v>0</v>
      </c>
      <c r="L19" s="36">
        <f aca="true" t="shared" si="1" ref="L19:L79">ROUND(E19*F19,2)</f>
        <v>0</v>
      </c>
      <c r="M19" s="36">
        <f aca="true" t="shared" si="2" ref="M19:M79">ROUND(E19*H19,2)</f>
        <v>0</v>
      </c>
      <c r="N19" s="36">
        <f aca="true" t="shared" si="3" ref="N19:N79">ROUND(E19*I19,2)</f>
        <v>0</v>
      </c>
      <c r="O19" s="36">
        <f aca="true" t="shared" si="4" ref="O19:O79">ROUND(E19*J19,2)</f>
        <v>0</v>
      </c>
      <c r="P19" s="36">
        <f aca="true" t="shared" si="5" ref="P19:P79">SUM(M19:O19)</f>
        <v>0</v>
      </c>
    </row>
    <row r="20" spans="1:16" s="289" customFormat="1" ht="33">
      <c r="A20" s="270">
        <v>1</v>
      </c>
      <c r="B20" s="293"/>
      <c r="C20" s="274" t="s">
        <v>239</v>
      </c>
      <c r="D20" s="270" t="s">
        <v>240</v>
      </c>
      <c r="E20" s="35">
        <v>1</v>
      </c>
      <c r="F20" s="88"/>
      <c r="G20" s="35"/>
      <c r="H20" s="49"/>
      <c r="I20" s="88"/>
      <c r="J20" s="88"/>
      <c r="K20" s="36"/>
      <c r="L20" s="36"/>
      <c r="M20" s="36"/>
      <c r="N20" s="36"/>
      <c r="O20" s="36"/>
      <c r="P20" s="36"/>
    </row>
    <row r="21" spans="1:16" s="294" customFormat="1" ht="16.5">
      <c r="A21" s="270">
        <f>A20+1</f>
        <v>2</v>
      </c>
      <c r="B21" s="293"/>
      <c r="C21" s="274" t="s">
        <v>241</v>
      </c>
      <c r="D21" s="270" t="s">
        <v>240</v>
      </c>
      <c r="E21" s="35">
        <v>1</v>
      </c>
      <c r="F21" s="88"/>
      <c r="G21" s="35"/>
      <c r="H21" s="49"/>
      <c r="I21" s="88"/>
      <c r="J21" s="88"/>
      <c r="K21" s="36"/>
      <c r="L21" s="36"/>
      <c r="M21" s="36"/>
      <c r="N21" s="36"/>
      <c r="O21" s="36"/>
      <c r="P21" s="36"/>
    </row>
    <row r="22" spans="1:16" s="294" customFormat="1" ht="16.5">
      <c r="A22" s="270">
        <f aca="true" t="shared" si="6" ref="A22:A66">A21+1</f>
        <v>3</v>
      </c>
      <c r="B22" s="293"/>
      <c r="C22" s="274" t="s">
        <v>242</v>
      </c>
      <c r="D22" s="270" t="s">
        <v>240</v>
      </c>
      <c r="E22" s="35">
        <v>1</v>
      </c>
      <c r="F22" s="88"/>
      <c r="G22" s="35"/>
      <c r="H22" s="49"/>
      <c r="I22" s="88"/>
      <c r="J22" s="88"/>
      <c r="K22" s="36"/>
      <c r="L22" s="36"/>
      <c r="M22" s="36"/>
      <c r="N22" s="36"/>
      <c r="O22" s="36"/>
      <c r="P22" s="36"/>
    </row>
    <row r="23" spans="1:16" s="294" customFormat="1" ht="16.5">
      <c r="A23" s="270">
        <f t="shared" si="6"/>
        <v>4</v>
      </c>
      <c r="B23" s="293"/>
      <c r="C23" s="274" t="s">
        <v>243</v>
      </c>
      <c r="D23" s="270" t="s">
        <v>199</v>
      </c>
      <c r="E23" s="35">
        <v>2</v>
      </c>
      <c r="F23" s="88"/>
      <c r="G23" s="35"/>
      <c r="H23" s="49"/>
      <c r="I23" s="88"/>
      <c r="J23" s="88"/>
      <c r="K23" s="36"/>
      <c r="L23" s="36"/>
      <c r="M23" s="36"/>
      <c r="N23" s="36"/>
      <c r="O23" s="36"/>
      <c r="P23" s="36"/>
    </row>
    <row r="24" spans="1:16" s="294" customFormat="1" ht="16.5">
      <c r="A24" s="270">
        <f t="shared" si="6"/>
        <v>5</v>
      </c>
      <c r="B24" s="293"/>
      <c r="C24" s="274" t="s">
        <v>244</v>
      </c>
      <c r="D24" s="270" t="s">
        <v>240</v>
      </c>
      <c r="E24" s="35">
        <v>10</v>
      </c>
      <c r="F24" s="88"/>
      <c r="G24" s="35"/>
      <c r="H24" s="49"/>
      <c r="I24" s="88"/>
      <c r="J24" s="88"/>
      <c r="K24" s="36"/>
      <c r="L24" s="36"/>
      <c r="M24" s="36"/>
      <c r="N24" s="36"/>
      <c r="O24" s="36"/>
      <c r="P24" s="36"/>
    </row>
    <row r="25" spans="1:16" s="294" customFormat="1" ht="16.5">
      <c r="A25" s="270">
        <f t="shared" si="6"/>
        <v>6</v>
      </c>
      <c r="B25" s="293"/>
      <c r="C25" s="274" t="s">
        <v>245</v>
      </c>
      <c r="D25" s="270" t="s">
        <v>240</v>
      </c>
      <c r="E25" s="35">
        <v>2</v>
      </c>
      <c r="F25" s="88"/>
      <c r="G25" s="35"/>
      <c r="H25" s="49"/>
      <c r="I25" s="88"/>
      <c r="J25" s="88"/>
      <c r="K25" s="36"/>
      <c r="L25" s="36"/>
      <c r="M25" s="36"/>
      <c r="N25" s="36"/>
      <c r="O25" s="36"/>
      <c r="P25" s="36"/>
    </row>
    <row r="26" spans="1:16" s="294" customFormat="1" ht="16.5">
      <c r="A26" s="270">
        <f t="shared" si="6"/>
        <v>7</v>
      </c>
      <c r="B26" s="293"/>
      <c r="C26" s="274" t="s">
        <v>246</v>
      </c>
      <c r="D26" s="270" t="s">
        <v>240</v>
      </c>
      <c r="E26" s="35">
        <v>10</v>
      </c>
      <c r="F26" s="88"/>
      <c r="G26" s="35"/>
      <c r="H26" s="49"/>
      <c r="I26" s="88"/>
      <c r="J26" s="88"/>
      <c r="K26" s="36"/>
      <c r="L26" s="36"/>
      <c r="M26" s="36"/>
      <c r="N26" s="36"/>
      <c r="O26" s="36"/>
      <c r="P26" s="36"/>
    </row>
    <row r="27" spans="1:16" s="294" customFormat="1" ht="16.5">
      <c r="A27" s="270">
        <f t="shared" si="6"/>
        <v>8</v>
      </c>
      <c r="B27" s="293"/>
      <c r="C27" s="274" t="s">
        <v>247</v>
      </c>
      <c r="D27" s="270" t="s">
        <v>199</v>
      </c>
      <c r="E27" s="35">
        <v>2</v>
      </c>
      <c r="F27" s="88"/>
      <c r="G27" s="35"/>
      <c r="H27" s="49"/>
      <c r="I27" s="88"/>
      <c r="J27" s="88"/>
      <c r="K27" s="36"/>
      <c r="L27" s="36"/>
      <c r="M27" s="36"/>
      <c r="N27" s="36"/>
      <c r="O27" s="36"/>
      <c r="P27" s="36"/>
    </row>
    <row r="28" spans="1:16" s="294" customFormat="1" ht="16.5">
      <c r="A28" s="270">
        <f t="shared" si="6"/>
        <v>9</v>
      </c>
      <c r="B28" s="293"/>
      <c r="C28" s="274" t="s">
        <v>248</v>
      </c>
      <c r="D28" s="270" t="s">
        <v>240</v>
      </c>
      <c r="E28" s="35">
        <v>1</v>
      </c>
      <c r="F28" s="88"/>
      <c r="G28" s="35"/>
      <c r="H28" s="49"/>
      <c r="I28" s="88"/>
      <c r="J28" s="88"/>
      <c r="K28" s="36"/>
      <c r="L28" s="36"/>
      <c r="M28" s="36"/>
      <c r="N28" s="36"/>
      <c r="O28" s="36"/>
      <c r="P28" s="36"/>
    </row>
    <row r="29" spans="1:16" s="294" customFormat="1" ht="16.5">
      <c r="A29" s="270">
        <f t="shared" si="6"/>
        <v>10</v>
      </c>
      <c r="B29" s="293"/>
      <c r="C29" s="274" t="s">
        <v>249</v>
      </c>
      <c r="D29" s="270" t="s">
        <v>240</v>
      </c>
      <c r="E29" s="35">
        <v>1</v>
      </c>
      <c r="F29" s="88"/>
      <c r="G29" s="35"/>
      <c r="H29" s="49"/>
      <c r="I29" s="88"/>
      <c r="J29" s="88"/>
      <c r="K29" s="36"/>
      <c r="L29" s="36"/>
      <c r="M29" s="36"/>
      <c r="N29" s="36"/>
      <c r="O29" s="36"/>
      <c r="P29" s="36"/>
    </row>
    <row r="30" spans="1:16" s="294" customFormat="1" ht="16.5">
      <c r="A30" s="270">
        <f t="shared" si="6"/>
        <v>11</v>
      </c>
      <c r="B30" s="293"/>
      <c r="C30" s="274" t="s">
        <v>250</v>
      </c>
      <c r="D30" s="270" t="s">
        <v>240</v>
      </c>
      <c r="E30" s="35">
        <v>1</v>
      </c>
      <c r="F30" s="88"/>
      <c r="G30" s="35"/>
      <c r="H30" s="49"/>
      <c r="I30" s="88"/>
      <c r="J30" s="88"/>
      <c r="K30" s="36"/>
      <c r="L30" s="36"/>
      <c r="M30" s="36"/>
      <c r="N30" s="36"/>
      <c r="O30" s="36"/>
      <c r="P30" s="36"/>
    </row>
    <row r="31" spans="1:16" s="294" customFormat="1" ht="16.5">
      <c r="A31" s="270"/>
      <c r="B31" s="284"/>
      <c r="C31" s="285" t="s">
        <v>251</v>
      </c>
      <c r="D31" s="286"/>
      <c r="E31" s="286"/>
      <c r="F31" s="287"/>
      <c r="G31" s="35"/>
      <c r="H31" s="49"/>
      <c r="I31" s="288"/>
      <c r="J31" s="288"/>
      <c r="K31" s="36"/>
      <c r="L31" s="36"/>
      <c r="M31" s="36"/>
      <c r="N31" s="36"/>
      <c r="O31" s="36"/>
      <c r="P31" s="36"/>
    </row>
    <row r="32" spans="1:16" s="289" customFormat="1" ht="33">
      <c r="A32" s="270">
        <f>A30+1</f>
        <v>12</v>
      </c>
      <c r="B32" s="293"/>
      <c r="C32" s="274" t="s">
        <v>252</v>
      </c>
      <c r="D32" s="270" t="s">
        <v>240</v>
      </c>
      <c r="E32" s="35">
        <v>1</v>
      </c>
      <c r="F32" s="88"/>
      <c r="G32" s="35"/>
      <c r="H32" s="49"/>
      <c r="I32" s="88"/>
      <c r="J32" s="88"/>
      <c r="K32" s="36"/>
      <c r="L32" s="36"/>
      <c r="M32" s="36"/>
      <c r="N32" s="36"/>
      <c r="O32" s="36"/>
      <c r="P32" s="36"/>
    </row>
    <row r="33" spans="1:16" s="294" customFormat="1" ht="16.5">
      <c r="A33" s="270">
        <f t="shared" si="6"/>
        <v>13</v>
      </c>
      <c r="B33" s="293"/>
      <c r="C33" s="274" t="s">
        <v>241</v>
      </c>
      <c r="D33" s="270" t="s">
        <v>240</v>
      </c>
      <c r="E33" s="35">
        <v>1</v>
      </c>
      <c r="F33" s="88"/>
      <c r="G33" s="35"/>
      <c r="H33" s="49"/>
      <c r="I33" s="88"/>
      <c r="J33" s="88"/>
      <c r="K33" s="36"/>
      <c r="L33" s="36"/>
      <c r="M33" s="36"/>
      <c r="N33" s="36"/>
      <c r="O33" s="36"/>
      <c r="P33" s="36"/>
    </row>
    <row r="34" spans="1:16" s="294" customFormat="1" ht="16.5">
      <c r="A34" s="270">
        <f t="shared" si="6"/>
        <v>14</v>
      </c>
      <c r="B34" s="293"/>
      <c r="C34" s="274" t="s">
        <v>242</v>
      </c>
      <c r="D34" s="270" t="s">
        <v>240</v>
      </c>
      <c r="E34" s="35">
        <v>1</v>
      </c>
      <c r="F34" s="88"/>
      <c r="G34" s="35"/>
      <c r="H34" s="49"/>
      <c r="I34" s="88"/>
      <c r="J34" s="88"/>
      <c r="K34" s="36"/>
      <c r="L34" s="36"/>
      <c r="M34" s="36"/>
      <c r="N34" s="36"/>
      <c r="O34" s="36"/>
      <c r="P34" s="36"/>
    </row>
    <row r="35" spans="1:16" s="294" customFormat="1" ht="16.5">
      <c r="A35" s="270">
        <f t="shared" si="6"/>
        <v>15</v>
      </c>
      <c r="B35" s="293"/>
      <c r="C35" s="274" t="s">
        <v>243</v>
      </c>
      <c r="D35" s="270" t="s">
        <v>199</v>
      </c>
      <c r="E35" s="35">
        <v>2</v>
      </c>
      <c r="F35" s="88"/>
      <c r="G35" s="35"/>
      <c r="H35" s="49"/>
      <c r="I35" s="88"/>
      <c r="J35" s="88"/>
      <c r="K35" s="36"/>
      <c r="L35" s="36"/>
      <c r="M35" s="36"/>
      <c r="N35" s="36"/>
      <c r="O35" s="36"/>
      <c r="P35" s="36"/>
    </row>
    <row r="36" spans="1:16" s="294" customFormat="1" ht="16.5">
      <c r="A36" s="270">
        <f t="shared" si="6"/>
        <v>16</v>
      </c>
      <c r="B36" s="293"/>
      <c r="C36" s="274" t="s">
        <v>244</v>
      </c>
      <c r="D36" s="270" t="s">
        <v>240</v>
      </c>
      <c r="E36" s="35">
        <v>10</v>
      </c>
      <c r="F36" s="88"/>
      <c r="G36" s="35"/>
      <c r="H36" s="49"/>
      <c r="I36" s="88"/>
      <c r="J36" s="88"/>
      <c r="K36" s="36"/>
      <c r="L36" s="36"/>
      <c r="M36" s="36"/>
      <c r="N36" s="36"/>
      <c r="O36" s="36"/>
      <c r="P36" s="36"/>
    </row>
    <row r="37" spans="1:16" s="294" customFormat="1" ht="16.5">
      <c r="A37" s="270">
        <f t="shared" si="6"/>
        <v>17</v>
      </c>
      <c r="B37" s="293"/>
      <c r="C37" s="274" t="s">
        <v>245</v>
      </c>
      <c r="D37" s="270" t="s">
        <v>240</v>
      </c>
      <c r="E37" s="35">
        <v>2</v>
      </c>
      <c r="F37" s="88"/>
      <c r="G37" s="35"/>
      <c r="H37" s="49"/>
      <c r="I37" s="88"/>
      <c r="J37" s="88"/>
      <c r="K37" s="36"/>
      <c r="L37" s="36"/>
      <c r="M37" s="36"/>
      <c r="N37" s="36"/>
      <c r="O37" s="36"/>
      <c r="P37" s="36"/>
    </row>
    <row r="38" spans="1:16" s="294" customFormat="1" ht="16.5">
      <c r="A38" s="270">
        <f t="shared" si="6"/>
        <v>18</v>
      </c>
      <c r="B38" s="293"/>
      <c r="C38" s="274" t="s">
        <v>246</v>
      </c>
      <c r="D38" s="270" t="s">
        <v>240</v>
      </c>
      <c r="E38" s="35">
        <v>10</v>
      </c>
      <c r="F38" s="88"/>
      <c r="G38" s="35"/>
      <c r="H38" s="49"/>
      <c r="I38" s="88"/>
      <c r="J38" s="88"/>
      <c r="K38" s="36"/>
      <c r="L38" s="36"/>
      <c r="M38" s="36"/>
      <c r="N38" s="36"/>
      <c r="O38" s="36"/>
      <c r="P38" s="36"/>
    </row>
    <row r="39" spans="1:16" s="294" customFormat="1" ht="16.5">
      <c r="A39" s="270">
        <f t="shared" si="6"/>
        <v>19</v>
      </c>
      <c r="B39" s="293"/>
      <c r="C39" s="274" t="s">
        <v>247</v>
      </c>
      <c r="D39" s="270" t="s">
        <v>199</v>
      </c>
      <c r="E39" s="35">
        <v>2</v>
      </c>
      <c r="F39" s="88"/>
      <c r="G39" s="35"/>
      <c r="H39" s="49"/>
      <c r="I39" s="88"/>
      <c r="J39" s="88"/>
      <c r="K39" s="36"/>
      <c r="L39" s="36"/>
      <c r="M39" s="36"/>
      <c r="N39" s="36"/>
      <c r="O39" s="36"/>
      <c r="P39" s="36"/>
    </row>
    <row r="40" spans="1:16" s="294" customFormat="1" ht="16.5">
      <c r="A40" s="270">
        <f t="shared" si="6"/>
        <v>20</v>
      </c>
      <c r="B40" s="293"/>
      <c r="C40" s="274" t="s">
        <v>248</v>
      </c>
      <c r="D40" s="270" t="s">
        <v>240</v>
      </c>
      <c r="E40" s="35">
        <v>1</v>
      </c>
      <c r="F40" s="88"/>
      <c r="G40" s="35"/>
      <c r="H40" s="49"/>
      <c r="I40" s="88"/>
      <c r="J40" s="88"/>
      <c r="K40" s="36"/>
      <c r="L40" s="36"/>
      <c r="M40" s="36"/>
      <c r="N40" s="36"/>
      <c r="O40" s="36"/>
      <c r="P40" s="36"/>
    </row>
    <row r="41" spans="1:16" s="294" customFormat="1" ht="16.5">
      <c r="A41" s="270">
        <f t="shared" si="6"/>
        <v>21</v>
      </c>
      <c r="B41" s="293"/>
      <c r="C41" s="274" t="s">
        <v>249</v>
      </c>
      <c r="D41" s="270" t="s">
        <v>240</v>
      </c>
      <c r="E41" s="35">
        <v>1</v>
      </c>
      <c r="F41" s="88"/>
      <c r="G41" s="35"/>
      <c r="H41" s="49"/>
      <c r="I41" s="88"/>
      <c r="J41" s="88"/>
      <c r="K41" s="36"/>
      <c r="L41" s="36"/>
      <c r="M41" s="36"/>
      <c r="N41" s="36"/>
      <c r="O41" s="36"/>
      <c r="P41" s="36"/>
    </row>
    <row r="42" spans="1:16" s="294" customFormat="1" ht="16.5">
      <c r="A42" s="270">
        <f t="shared" si="6"/>
        <v>22</v>
      </c>
      <c r="B42" s="293"/>
      <c r="C42" s="274" t="s">
        <v>250</v>
      </c>
      <c r="D42" s="270" t="s">
        <v>240</v>
      </c>
      <c r="E42" s="35">
        <v>1</v>
      </c>
      <c r="F42" s="88"/>
      <c r="G42" s="35"/>
      <c r="H42" s="49"/>
      <c r="I42" s="88"/>
      <c r="J42" s="88"/>
      <c r="K42" s="36"/>
      <c r="L42" s="36"/>
      <c r="M42" s="36"/>
      <c r="N42" s="36"/>
      <c r="O42" s="36"/>
      <c r="P42" s="36"/>
    </row>
    <row r="43" spans="1:16" s="294" customFormat="1" ht="16.5">
      <c r="A43" s="270"/>
      <c r="B43" s="290"/>
      <c r="C43" s="285" t="s">
        <v>253</v>
      </c>
      <c r="D43" s="291"/>
      <c r="E43" s="291"/>
      <c r="F43" s="288"/>
      <c r="G43" s="35"/>
      <c r="H43" s="49"/>
      <c r="I43" s="288"/>
      <c r="J43" s="288"/>
      <c r="K43" s="36"/>
      <c r="L43" s="36"/>
      <c r="M43" s="36"/>
      <c r="N43" s="36"/>
      <c r="O43" s="36"/>
      <c r="P43" s="36"/>
    </row>
    <row r="44" spans="1:16" s="289" customFormat="1" ht="33">
      <c r="A44" s="270">
        <f>A42+1</f>
        <v>23</v>
      </c>
      <c r="B44" s="293"/>
      <c r="C44" s="274" t="s">
        <v>254</v>
      </c>
      <c r="D44" s="270" t="s">
        <v>240</v>
      </c>
      <c r="E44" s="35">
        <v>1</v>
      </c>
      <c r="F44" s="88"/>
      <c r="G44" s="35"/>
      <c r="H44" s="49"/>
      <c r="I44" s="88"/>
      <c r="J44" s="88"/>
      <c r="K44" s="36"/>
      <c r="L44" s="36"/>
      <c r="M44" s="36"/>
      <c r="N44" s="36"/>
      <c r="O44" s="36"/>
      <c r="P44" s="36"/>
    </row>
    <row r="45" spans="1:16" s="294" customFormat="1" ht="16.5">
      <c r="A45" s="270">
        <f t="shared" si="6"/>
        <v>24</v>
      </c>
      <c r="B45" s="293"/>
      <c r="C45" s="274" t="s">
        <v>241</v>
      </c>
      <c r="D45" s="270" t="s">
        <v>240</v>
      </c>
      <c r="E45" s="35">
        <v>1</v>
      </c>
      <c r="F45" s="88"/>
      <c r="G45" s="35"/>
      <c r="H45" s="49"/>
      <c r="I45" s="88"/>
      <c r="J45" s="88"/>
      <c r="K45" s="36"/>
      <c r="L45" s="36"/>
      <c r="M45" s="36"/>
      <c r="N45" s="36"/>
      <c r="O45" s="36"/>
      <c r="P45" s="36"/>
    </row>
    <row r="46" spans="1:16" s="294" customFormat="1" ht="16.5">
      <c r="A46" s="270">
        <f t="shared" si="6"/>
        <v>25</v>
      </c>
      <c r="B46" s="293"/>
      <c r="C46" s="274" t="s">
        <v>242</v>
      </c>
      <c r="D46" s="270" t="s">
        <v>240</v>
      </c>
      <c r="E46" s="35">
        <v>1</v>
      </c>
      <c r="F46" s="88"/>
      <c r="G46" s="35"/>
      <c r="H46" s="49"/>
      <c r="I46" s="88"/>
      <c r="J46" s="88"/>
      <c r="K46" s="36"/>
      <c r="L46" s="36"/>
      <c r="M46" s="36"/>
      <c r="N46" s="36"/>
      <c r="O46" s="36"/>
      <c r="P46" s="36"/>
    </row>
    <row r="47" spans="1:16" s="294" customFormat="1" ht="16.5">
      <c r="A47" s="270">
        <f t="shared" si="6"/>
        <v>26</v>
      </c>
      <c r="B47" s="293"/>
      <c r="C47" s="274" t="s">
        <v>243</v>
      </c>
      <c r="D47" s="270" t="s">
        <v>199</v>
      </c>
      <c r="E47" s="35">
        <v>2</v>
      </c>
      <c r="F47" s="88"/>
      <c r="G47" s="35"/>
      <c r="H47" s="49"/>
      <c r="I47" s="88"/>
      <c r="J47" s="88"/>
      <c r="K47" s="36"/>
      <c r="L47" s="36"/>
      <c r="M47" s="36"/>
      <c r="N47" s="36"/>
      <c r="O47" s="36"/>
      <c r="P47" s="36"/>
    </row>
    <row r="48" spans="1:16" s="294" customFormat="1" ht="16.5">
      <c r="A48" s="270">
        <f t="shared" si="6"/>
        <v>27</v>
      </c>
      <c r="B48" s="293"/>
      <c r="C48" s="274" t="s">
        <v>244</v>
      </c>
      <c r="D48" s="270" t="s">
        <v>240</v>
      </c>
      <c r="E48" s="35">
        <v>20</v>
      </c>
      <c r="F48" s="88"/>
      <c r="G48" s="35"/>
      <c r="H48" s="49"/>
      <c r="I48" s="88"/>
      <c r="J48" s="88"/>
      <c r="K48" s="36"/>
      <c r="L48" s="36"/>
      <c r="M48" s="36"/>
      <c r="N48" s="36"/>
      <c r="O48" s="36"/>
      <c r="P48" s="36"/>
    </row>
    <row r="49" spans="1:16" s="294" customFormat="1" ht="16.5">
      <c r="A49" s="270">
        <f t="shared" si="6"/>
        <v>28</v>
      </c>
      <c r="B49" s="293"/>
      <c r="C49" s="274" t="s">
        <v>245</v>
      </c>
      <c r="D49" s="270" t="s">
        <v>240</v>
      </c>
      <c r="E49" s="35">
        <v>2</v>
      </c>
      <c r="F49" s="88"/>
      <c r="G49" s="35"/>
      <c r="H49" s="49"/>
      <c r="I49" s="88"/>
      <c r="J49" s="88"/>
      <c r="K49" s="36"/>
      <c r="L49" s="36"/>
      <c r="M49" s="36"/>
      <c r="N49" s="36"/>
      <c r="O49" s="36"/>
      <c r="P49" s="36"/>
    </row>
    <row r="50" spans="1:16" s="294" customFormat="1" ht="16.5">
      <c r="A50" s="270">
        <f t="shared" si="6"/>
        <v>29</v>
      </c>
      <c r="B50" s="293"/>
      <c r="C50" s="274" t="s">
        <v>246</v>
      </c>
      <c r="D50" s="270" t="s">
        <v>240</v>
      </c>
      <c r="E50" s="35">
        <v>20</v>
      </c>
      <c r="F50" s="88"/>
      <c r="G50" s="35"/>
      <c r="H50" s="49"/>
      <c r="I50" s="88"/>
      <c r="J50" s="88"/>
      <c r="K50" s="36"/>
      <c r="L50" s="36"/>
      <c r="M50" s="36"/>
      <c r="N50" s="36"/>
      <c r="O50" s="36"/>
      <c r="P50" s="36"/>
    </row>
    <row r="51" spans="1:16" s="294" customFormat="1" ht="16.5">
      <c r="A51" s="270">
        <f t="shared" si="6"/>
        <v>30</v>
      </c>
      <c r="B51" s="293"/>
      <c r="C51" s="274" t="s">
        <v>247</v>
      </c>
      <c r="D51" s="270" t="s">
        <v>199</v>
      </c>
      <c r="E51" s="35">
        <v>2</v>
      </c>
      <c r="F51" s="88"/>
      <c r="G51" s="35"/>
      <c r="H51" s="49"/>
      <c r="I51" s="88"/>
      <c r="J51" s="88"/>
      <c r="K51" s="36"/>
      <c r="L51" s="36"/>
      <c r="M51" s="36"/>
      <c r="N51" s="36"/>
      <c r="O51" s="36"/>
      <c r="P51" s="36"/>
    </row>
    <row r="52" spans="1:16" s="294" customFormat="1" ht="16.5">
      <c r="A52" s="270">
        <f t="shared" si="6"/>
        <v>31</v>
      </c>
      <c r="B52" s="293"/>
      <c r="C52" s="274" t="s">
        <v>248</v>
      </c>
      <c r="D52" s="270" t="s">
        <v>240</v>
      </c>
      <c r="E52" s="35">
        <v>1</v>
      </c>
      <c r="F52" s="88"/>
      <c r="G52" s="35"/>
      <c r="H52" s="49"/>
      <c r="I52" s="88"/>
      <c r="J52" s="88"/>
      <c r="K52" s="36"/>
      <c r="L52" s="36"/>
      <c r="M52" s="36"/>
      <c r="N52" s="36"/>
      <c r="O52" s="36"/>
      <c r="P52" s="36"/>
    </row>
    <row r="53" spans="1:16" s="294" customFormat="1" ht="16.5">
      <c r="A53" s="270">
        <f t="shared" si="6"/>
        <v>32</v>
      </c>
      <c r="B53" s="293"/>
      <c r="C53" s="274" t="s">
        <v>249</v>
      </c>
      <c r="D53" s="270" t="s">
        <v>240</v>
      </c>
      <c r="E53" s="35">
        <v>1</v>
      </c>
      <c r="F53" s="88"/>
      <c r="G53" s="35"/>
      <c r="H53" s="49"/>
      <c r="I53" s="88"/>
      <c r="J53" s="88"/>
      <c r="K53" s="36"/>
      <c r="L53" s="36"/>
      <c r="M53" s="36"/>
      <c r="N53" s="36"/>
      <c r="O53" s="36"/>
      <c r="P53" s="36"/>
    </row>
    <row r="54" spans="1:16" s="294" customFormat="1" ht="16.5">
      <c r="A54" s="270">
        <f t="shared" si="6"/>
        <v>33</v>
      </c>
      <c r="B54" s="293"/>
      <c r="C54" s="274" t="s">
        <v>250</v>
      </c>
      <c r="D54" s="270" t="s">
        <v>240</v>
      </c>
      <c r="E54" s="35">
        <v>1</v>
      </c>
      <c r="F54" s="88"/>
      <c r="G54" s="35"/>
      <c r="H54" s="49"/>
      <c r="I54" s="88"/>
      <c r="J54" s="88"/>
      <c r="K54" s="36"/>
      <c r="L54" s="36"/>
      <c r="M54" s="36"/>
      <c r="N54" s="36"/>
      <c r="O54" s="36"/>
      <c r="P54" s="36"/>
    </row>
    <row r="55" spans="1:16" s="294" customFormat="1" ht="16.5">
      <c r="A55" s="270"/>
      <c r="B55" s="284"/>
      <c r="C55" s="285" t="s">
        <v>255</v>
      </c>
      <c r="D55" s="286"/>
      <c r="E55" s="286"/>
      <c r="F55" s="287"/>
      <c r="G55" s="35"/>
      <c r="H55" s="49"/>
      <c r="I55" s="288"/>
      <c r="J55" s="288"/>
      <c r="K55" s="36"/>
      <c r="L55" s="36"/>
      <c r="M55" s="36"/>
      <c r="N55" s="36"/>
      <c r="O55" s="36"/>
      <c r="P55" s="36"/>
    </row>
    <row r="56" spans="1:16" s="289" customFormat="1" ht="33">
      <c r="A56" s="270">
        <f>A54+1</f>
        <v>34</v>
      </c>
      <c r="B56" s="293"/>
      <c r="C56" s="274" t="s">
        <v>256</v>
      </c>
      <c r="D56" s="270" t="s">
        <v>240</v>
      </c>
      <c r="E56" s="35">
        <v>1</v>
      </c>
      <c r="F56" s="88"/>
      <c r="G56" s="35"/>
      <c r="H56" s="49"/>
      <c r="I56" s="88"/>
      <c r="J56" s="88"/>
      <c r="K56" s="36"/>
      <c r="L56" s="36"/>
      <c r="M56" s="36"/>
      <c r="N56" s="36"/>
      <c r="O56" s="36"/>
      <c r="P56" s="36"/>
    </row>
    <row r="57" spans="1:16" s="294" customFormat="1" ht="16.5">
      <c r="A57" s="270">
        <f t="shared" si="6"/>
        <v>35</v>
      </c>
      <c r="B57" s="293"/>
      <c r="C57" s="274" t="s">
        <v>241</v>
      </c>
      <c r="D57" s="270" t="s">
        <v>240</v>
      </c>
      <c r="E57" s="35">
        <v>1</v>
      </c>
      <c r="F57" s="88"/>
      <c r="G57" s="35"/>
      <c r="H57" s="49"/>
      <c r="I57" s="88"/>
      <c r="J57" s="88"/>
      <c r="K57" s="36"/>
      <c r="L57" s="36"/>
      <c r="M57" s="36"/>
      <c r="N57" s="36"/>
      <c r="O57" s="36"/>
      <c r="P57" s="36"/>
    </row>
    <row r="58" spans="1:16" s="294" customFormat="1" ht="16.5">
      <c r="A58" s="270">
        <f t="shared" si="6"/>
        <v>36</v>
      </c>
      <c r="B58" s="293"/>
      <c r="C58" s="274" t="s">
        <v>242</v>
      </c>
      <c r="D58" s="270" t="s">
        <v>240</v>
      </c>
      <c r="E58" s="35">
        <v>1</v>
      </c>
      <c r="F58" s="88"/>
      <c r="G58" s="35"/>
      <c r="H58" s="49"/>
      <c r="I58" s="88"/>
      <c r="J58" s="88"/>
      <c r="K58" s="36"/>
      <c r="L58" s="36"/>
      <c r="M58" s="36"/>
      <c r="N58" s="36"/>
      <c r="O58" s="36"/>
      <c r="P58" s="36"/>
    </row>
    <row r="59" spans="1:16" s="294" customFormat="1" ht="16.5">
      <c r="A59" s="270">
        <f t="shared" si="6"/>
        <v>37</v>
      </c>
      <c r="B59" s="293"/>
      <c r="C59" s="274" t="s">
        <v>243</v>
      </c>
      <c r="D59" s="270" t="s">
        <v>199</v>
      </c>
      <c r="E59" s="35">
        <v>2</v>
      </c>
      <c r="F59" s="88"/>
      <c r="G59" s="35"/>
      <c r="H59" s="49"/>
      <c r="I59" s="88"/>
      <c r="J59" s="88"/>
      <c r="K59" s="36"/>
      <c r="L59" s="36"/>
      <c r="M59" s="36"/>
      <c r="N59" s="36"/>
      <c r="O59" s="36"/>
      <c r="P59" s="36"/>
    </row>
    <row r="60" spans="1:16" s="294" customFormat="1" ht="16.5">
      <c r="A60" s="270">
        <f t="shared" si="6"/>
        <v>38</v>
      </c>
      <c r="B60" s="293"/>
      <c r="C60" s="274" t="s">
        <v>244</v>
      </c>
      <c r="D60" s="270" t="s">
        <v>240</v>
      </c>
      <c r="E60" s="35">
        <v>10</v>
      </c>
      <c r="F60" s="88"/>
      <c r="G60" s="35"/>
      <c r="H60" s="49"/>
      <c r="I60" s="88"/>
      <c r="J60" s="88"/>
      <c r="K60" s="36"/>
      <c r="L60" s="36"/>
      <c r="M60" s="36"/>
      <c r="N60" s="36"/>
      <c r="O60" s="36"/>
      <c r="P60" s="36"/>
    </row>
    <row r="61" spans="1:16" s="294" customFormat="1" ht="16.5">
      <c r="A61" s="270">
        <f t="shared" si="6"/>
        <v>39</v>
      </c>
      <c r="B61" s="293"/>
      <c r="C61" s="274" t="s">
        <v>245</v>
      </c>
      <c r="D61" s="270" t="s">
        <v>240</v>
      </c>
      <c r="E61" s="35">
        <v>2</v>
      </c>
      <c r="F61" s="88"/>
      <c r="G61" s="35"/>
      <c r="H61" s="49"/>
      <c r="I61" s="88"/>
      <c r="J61" s="88"/>
      <c r="K61" s="36"/>
      <c r="L61" s="36"/>
      <c r="M61" s="36"/>
      <c r="N61" s="36"/>
      <c r="O61" s="36"/>
      <c r="P61" s="36"/>
    </row>
    <row r="62" spans="1:16" s="294" customFormat="1" ht="16.5">
      <c r="A62" s="270">
        <f t="shared" si="6"/>
        <v>40</v>
      </c>
      <c r="B62" s="293"/>
      <c r="C62" s="274" t="s">
        <v>246</v>
      </c>
      <c r="D62" s="270" t="s">
        <v>240</v>
      </c>
      <c r="E62" s="35">
        <v>10</v>
      </c>
      <c r="F62" s="88"/>
      <c r="G62" s="35"/>
      <c r="H62" s="49"/>
      <c r="I62" s="88"/>
      <c r="J62" s="88"/>
      <c r="K62" s="36"/>
      <c r="L62" s="36"/>
      <c r="M62" s="36"/>
      <c r="N62" s="36"/>
      <c r="O62" s="36"/>
      <c r="P62" s="36"/>
    </row>
    <row r="63" spans="1:16" s="294" customFormat="1" ht="16.5">
      <c r="A63" s="270">
        <f t="shared" si="6"/>
        <v>41</v>
      </c>
      <c r="B63" s="293"/>
      <c r="C63" s="274" t="s">
        <v>247</v>
      </c>
      <c r="D63" s="270" t="s">
        <v>199</v>
      </c>
      <c r="E63" s="35">
        <v>2</v>
      </c>
      <c r="F63" s="88"/>
      <c r="G63" s="35"/>
      <c r="H63" s="49"/>
      <c r="I63" s="88"/>
      <c r="J63" s="88"/>
      <c r="K63" s="36"/>
      <c r="L63" s="36"/>
      <c r="M63" s="36"/>
      <c r="N63" s="36"/>
      <c r="O63" s="36"/>
      <c r="P63" s="36"/>
    </row>
    <row r="64" spans="1:16" s="294" customFormat="1" ht="16.5">
      <c r="A64" s="270">
        <f t="shared" si="6"/>
        <v>42</v>
      </c>
      <c r="B64" s="293"/>
      <c r="C64" s="274" t="s">
        <v>248</v>
      </c>
      <c r="D64" s="270" t="s">
        <v>240</v>
      </c>
      <c r="E64" s="35">
        <v>1</v>
      </c>
      <c r="F64" s="88"/>
      <c r="G64" s="35"/>
      <c r="H64" s="49"/>
      <c r="I64" s="88"/>
      <c r="J64" s="88"/>
      <c r="K64" s="36"/>
      <c r="L64" s="36"/>
      <c r="M64" s="36"/>
      <c r="N64" s="36"/>
      <c r="O64" s="36"/>
      <c r="P64" s="36"/>
    </row>
    <row r="65" spans="1:16" s="294" customFormat="1" ht="16.5">
      <c r="A65" s="270">
        <f t="shared" si="6"/>
        <v>43</v>
      </c>
      <c r="B65" s="293"/>
      <c r="C65" s="274" t="s">
        <v>249</v>
      </c>
      <c r="D65" s="270" t="s">
        <v>240</v>
      </c>
      <c r="E65" s="35">
        <v>1</v>
      </c>
      <c r="F65" s="88"/>
      <c r="G65" s="35"/>
      <c r="H65" s="49"/>
      <c r="I65" s="88"/>
      <c r="J65" s="88"/>
      <c r="K65" s="36"/>
      <c r="L65" s="36"/>
      <c r="M65" s="36"/>
      <c r="N65" s="36"/>
      <c r="O65" s="36"/>
      <c r="P65" s="36"/>
    </row>
    <row r="66" spans="1:16" s="294" customFormat="1" ht="16.5">
      <c r="A66" s="270">
        <f t="shared" si="6"/>
        <v>44</v>
      </c>
      <c r="B66" s="293"/>
      <c r="C66" s="274" t="s">
        <v>250</v>
      </c>
      <c r="D66" s="270" t="s">
        <v>240</v>
      </c>
      <c r="E66" s="35">
        <v>1</v>
      </c>
      <c r="F66" s="88"/>
      <c r="G66" s="35"/>
      <c r="H66" s="49"/>
      <c r="I66" s="88"/>
      <c r="J66" s="88"/>
      <c r="K66" s="36"/>
      <c r="L66" s="36"/>
      <c r="M66" s="36"/>
      <c r="N66" s="36"/>
      <c r="O66" s="36"/>
      <c r="P66" s="36"/>
    </row>
    <row r="67" spans="1:16" s="294" customFormat="1" ht="16.5">
      <c r="A67" s="270"/>
      <c r="B67" s="293"/>
      <c r="C67" s="274"/>
      <c r="D67" s="270"/>
      <c r="E67" s="35"/>
      <c r="F67" s="88"/>
      <c r="G67" s="35"/>
      <c r="H67" s="49"/>
      <c r="I67" s="88"/>
      <c r="J67" s="88"/>
      <c r="K67" s="36"/>
      <c r="L67" s="36"/>
      <c r="M67" s="36"/>
      <c r="N67" s="36"/>
      <c r="O67" s="36"/>
      <c r="P67" s="36"/>
    </row>
    <row r="68" spans="1:16" s="294" customFormat="1" ht="16.5">
      <c r="A68" s="270">
        <f>A66+1</f>
        <v>45</v>
      </c>
      <c r="B68" s="293"/>
      <c r="C68" s="274" t="s">
        <v>282</v>
      </c>
      <c r="D68" s="270" t="s">
        <v>31</v>
      </c>
      <c r="E68" s="35">
        <v>1</v>
      </c>
      <c r="F68" s="88"/>
      <c r="G68" s="35"/>
      <c r="H68" s="49"/>
      <c r="I68" s="88"/>
      <c r="J68" s="88"/>
      <c r="K68" s="36"/>
      <c r="L68" s="36"/>
      <c r="M68" s="36"/>
      <c r="N68" s="36"/>
      <c r="O68" s="36"/>
      <c r="P68" s="36"/>
    </row>
    <row r="69" spans="1:16" s="294" customFormat="1" ht="16.5">
      <c r="A69" s="270"/>
      <c r="B69" s="293"/>
      <c r="C69" s="120" t="s">
        <v>221</v>
      </c>
      <c r="D69" s="270"/>
      <c r="E69" s="35"/>
      <c r="F69" s="88"/>
      <c r="G69" s="35"/>
      <c r="H69" s="49"/>
      <c r="I69" s="88"/>
      <c r="J69" s="88"/>
      <c r="K69" s="36"/>
      <c r="L69" s="36"/>
      <c r="M69" s="36"/>
      <c r="N69" s="36"/>
      <c r="O69" s="36"/>
      <c r="P69" s="36"/>
    </row>
    <row r="70" spans="1:16" s="294" customFormat="1" ht="33">
      <c r="A70" s="270">
        <f>A68+1</f>
        <v>46</v>
      </c>
      <c r="B70" s="293"/>
      <c r="C70" s="274" t="s">
        <v>222</v>
      </c>
      <c r="D70" s="270" t="s">
        <v>17</v>
      </c>
      <c r="E70" s="35">
        <v>41.7</v>
      </c>
      <c r="F70" s="88"/>
      <c r="G70" s="35"/>
      <c r="H70" s="49"/>
      <c r="I70" s="88"/>
      <c r="J70" s="88"/>
      <c r="K70" s="36"/>
      <c r="L70" s="36"/>
      <c r="M70" s="36"/>
      <c r="N70" s="36"/>
      <c r="O70" s="36"/>
      <c r="P70" s="36"/>
    </row>
    <row r="71" spans="1:16" s="294" customFormat="1" ht="16.5">
      <c r="A71" s="270"/>
      <c r="B71" s="293"/>
      <c r="C71" s="91" t="s">
        <v>215</v>
      </c>
      <c r="D71" s="270" t="s">
        <v>17</v>
      </c>
      <c r="E71" s="35">
        <f>1.03*E70</f>
        <v>42.951</v>
      </c>
      <c r="F71" s="88"/>
      <c r="G71" s="35"/>
      <c r="H71" s="49"/>
      <c r="I71" s="88"/>
      <c r="J71" s="88"/>
      <c r="K71" s="36"/>
      <c r="L71" s="36"/>
      <c r="M71" s="36"/>
      <c r="N71" s="36"/>
      <c r="O71" s="36"/>
      <c r="P71" s="36"/>
    </row>
    <row r="72" spans="1:16" s="294" customFormat="1" ht="16.5">
      <c r="A72" s="270"/>
      <c r="B72" s="293"/>
      <c r="C72" s="91" t="s">
        <v>25</v>
      </c>
      <c r="D72" s="270" t="s">
        <v>88</v>
      </c>
      <c r="E72" s="35">
        <f>2*E70</f>
        <v>83.4</v>
      </c>
      <c r="F72" s="88"/>
      <c r="G72" s="35"/>
      <c r="H72" s="49"/>
      <c r="I72" s="88"/>
      <c r="J72" s="88"/>
      <c r="K72" s="36"/>
      <c r="L72" s="36"/>
      <c r="M72" s="36"/>
      <c r="N72" s="36"/>
      <c r="O72" s="36"/>
      <c r="P72" s="36"/>
    </row>
    <row r="73" spans="1:16" s="294" customFormat="1" ht="16.5">
      <c r="A73" s="270"/>
      <c r="B73" s="293"/>
      <c r="C73" s="91" t="s">
        <v>213</v>
      </c>
      <c r="D73" s="270" t="s">
        <v>17</v>
      </c>
      <c r="E73" s="35">
        <f>4.12*E70</f>
        <v>171.804</v>
      </c>
      <c r="F73" s="88"/>
      <c r="G73" s="35"/>
      <c r="H73" s="49"/>
      <c r="I73" s="88"/>
      <c r="J73" s="88"/>
      <c r="K73" s="36"/>
      <c r="L73" s="36"/>
      <c r="M73" s="36"/>
      <c r="N73" s="36"/>
      <c r="O73" s="36"/>
      <c r="P73" s="36"/>
    </row>
    <row r="74" spans="1:16" s="294" customFormat="1" ht="16.5">
      <c r="A74" s="270"/>
      <c r="B74" s="293"/>
      <c r="C74" s="91" t="s">
        <v>87</v>
      </c>
      <c r="D74" s="270" t="s">
        <v>88</v>
      </c>
      <c r="E74" s="35">
        <f>35*E70</f>
        <v>1459.5</v>
      </c>
      <c r="F74" s="88"/>
      <c r="G74" s="35"/>
      <c r="H74" s="49"/>
      <c r="I74" s="88"/>
      <c r="J74" s="88"/>
      <c r="K74" s="36"/>
      <c r="L74" s="36"/>
      <c r="M74" s="36"/>
      <c r="N74" s="36"/>
      <c r="O74" s="36"/>
      <c r="P74" s="36"/>
    </row>
    <row r="75" spans="1:16" s="294" customFormat="1" ht="16.5">
      <c r="A75" s="270"/>
      <c r="B75" s="293"/>
      <c r="C75" s="91" t="s">
        <v>214</v>
      </c>
      <c r="D75" s="270" t="s">
        <v>19</v>
      </c>
      <c r="E75" s="35">
        <f>0.8*E70</f>
        <v>33.36000000000001</v>
      </c>
      <c r="F75" s="88"/>
      <c r="G75" s="35"/>
      <c r="H75" s="49"/>
      <c r="I75" s="88"/>
      <c r="J75" s="88"/>
      <c r="K75" s="36"/>
      <c r="L75" s="36"/>
      <c r="M75" s="36"/>
      <c r="N75" s="36"/>
      <c r="O75" s="36"/>
      <c r="P75" s="36"/>
    </row>
    <row r="76" spans="1:16" s="294" customFormat="1" ht="16.5">
      <c r="A76" s="270"/>
      <c r="B76" s="293"/>
      <c r="C76" s="91" t="s">
        <v>217</v>
      </c>
      <c r="D76" s="270" t="s">
        <v>21</v>
      </c>
      <c r="E76" s="35">
        <f>1.5*E70</f>
        <v>62.550000000000004</v>
      </c>
      <c r="F76" s="88"/>
      <c r="G76" s="35"/>
      <c r="H76" s="49"/>
      <c r="I76" s="88"/>
      <c r="J76" s="88"/>
      <c r="K76" s="36"/>
      <c r="L76" s="36"/>
      <c r="M76" s="36"/>
      <c r="N76" s="36"/>
      <c r="O76" s="36"/>
      <c r="P76" s="36"/>
    </row>
    <row r="77" spans="1:16" s="294" customFormat="1" ht="33">
      <c r="A77" s="270">
        <f>A70+1</f>
        <v>47</v>
      </c>
      <c r="B77" s="296"/>
      <c r="C77" s="274" t="s">
        <v>218</v>
      </c>
      <c r="D77" s="270" t="s">
        <v>17</v>
      </c>
      <c r="E77" s="35">
        <v>12.1</v>
      </c>
      <c r="F77" s="88"/>
      <c r="G77" s="35"/>
      <c r="H77" s="49"/>
      <c r="I77" s="88"/>
      <c r="J77" s="88"/>
      <c r="K77" s="36"/>
      <c r="L77" s="36"/>
      <c r="M77" s="36"/>
      <c r="N77" s="36"/>
      <c r="O77" s="36"/>
      <c r="P77" s="36"/>
    </row>
    <row r="78" spans="1:16" s="294" customFormat="1" ht="16.5">
      <c r="A78" s="270"/>
      <c r="B78" s="293"/>
      <c r="C78" s="91" t="s">
        <v>215</v>
      </c>
      <c r="D78" s="270" t="s">
        <v>17</v>
      </c>
      <c r="E78" s="35">
        <f>1.03*E77</f>
        <v>12.463</v>
      </c>
      <c r="F78" s="88"/>
      <c r="G78" s="35"/>
      <c r="H78" s="49"/>
      <c r="I78" s="88"/>
      <c r="J78" s="88"/>
      <c r="K78" s="36"/>
      <c r="L78" s="36"/>
      <c r="M78" s="36"/>
      <c r="N78" s="36"/>
      <c r="O78" s="36"/>
      <c r="P78" s="36"/>
    </row>
    <row r="79" spans="1:16" s="294" customFormat="1" ht="16.5">
      <c r="A79" s="270"/>
      <c r="B79" s="293"/>
      <c r="C79" s="91" t="s">
        <v>213</v>
      </c>
      <c r="D79" s="270" t="s">
        <v>17</v>
      </c>
      <c r="E79" s="35">
        <f>2.06*E77</f>
        <v>24.926</v>
      </c>
      <c r="F79" s="88"/>
      <c r="G79" s="35"/>
      <c r="H79" s="49"/>
      <c r="I79" s="88"/>
      <c r="J79" s="88"/>
      <c r="K79" s="36"/>
      <c r="L79" s="36"/>
      <c r="M79" s="36"/>
      <c r="N79" s="36"/>
      <c r="O79" s="36"/>
      <c r="P79" s="36"/>
    </row>
    <row r="80" spans="1:16" s="294" customFormat="1" ht="16.5">
      <c r="A80" s="270"/>
      <c r="B80" s="293"/>
      <c r="C80" s="91" t="s">
        <v>216</v>
      </c>
      <c r="D80" s="270" t="s">
        <v>17</v>
      </c>
      <c r="E80" s="35">
        <f>1.03*E77</f>
        <v>12.463</v>
      </c>
      <c r="F80" s="88"/>
      <c r="G80" s="35"/>
      <c r="H80" s="49"/>
      <c r="I80" s="88"/>
      <c r="J80" s="88"/>
      <c r="K80" s="36"/>
      <c r="L80" s="36"/>
      <c r="M80" s="36"/>
      <c r="N80" s="36"/>
      <c r="O80" s="36"/>
      <c r="P80" s="36"/>
    </row>
    <row r="81" spans="1:16" s="294" customFormat="1" ht="16.5">
      <c r="A81" s="270"/>
      <c r="B81" s="293"/>
      <c r="C81" s="91" t="s">
        <v>25</v>
      </c>
      <c r="D81" s="270" t="s">
        <v>88</v>
      </c>
      <c r="E81" s="35">
        <f>2*E77</f>
        <v>24.2</v>
      </c>
      <c r="F81" s="88"/>
      <c r="G81" s="35"/>
      <c r="H81" s="49"/>
      <c r="I81" s="88"/>
      <c r="J81" s="88"/>
      <c r="K81" s="36"/>
      <c r="L81" s="36"/>
      <c r="M81" s="36"/>
      <c r="N81" s="36"/>
      <c r="O81" s="36"/>
      <c r="P81" s="36"/>
    </row>
    <row r="82" spans="1:16" s="294" customFormat="1" ht="16.5">
      <c r="A82" s="270"/>
      <c r="B82" s="293"/>
      <c r="C82" s="91" t="s">
        <v>87</v>
      </c>
      <c r="D82" s="270" t="s">
        <v>88</v>
      </c>
      <c r="E82" s="35">
        <f>25*E77</f>
        <v>302.5</v>
      </c>
      <c r="F82" s="88"/>
      <c r="G82" s="35"/>
      <c r="H82" s="49"/>
      <c r="I82" s="88"/>
      <c r="J82" s="88"/>
      <c r="K82" s="36"/>
      <c r="L82" s="36"/>
      <c r="M82" s="36"/>
      <c r="N82" s="36"/>
      <c r="O82" s="36"/>
      <c r="P82" s="36"/>
    </row>
    <row r="83" spans="1:16" s="294" customFormat="1" ht="16.5">
      <c r="A83" s="270"/>
      <c r="B83" s="293"/>
      <c r="C83" s="91" t="s">
        <v>214</v>
      </c>
      <c r="D83" s="270" t="s">
        <v>19</v>
      </c>
      <c r="E83" s="35">
        <f>0.8*E77</f>
        <v>9.68</v>
      </c>
      <c r="F83" s="88"/>
      <c r="G83" s="35"/>
      <c r="H83" s="49"/>
      <c r="I83" s="88"/>
      <c r="J83" s="88"/>
      <c r="K83" s="36"/>
      <c r="L83" s="36"/>
      <c r="M83" s="36"/>
      <c r="N83" s="36"/>
      <c r="O83" s="36"/>
      <c r="P83" s="36"/>
    </row>
    <row r="84" spans="1:16" s="294" customFormat="1" ht="16.5">
      <c r="A84" s="270"/>
      <c r="B84" s="293"/>
      <c r="C84" s="91" t="s">
        <v>217</v>
      </c>
      <c r="D84" s="270" t="s">
        <v>21</v>
      </c>
      <c r="E84" s="35">
        <f>1.5*E77</f>
        <v>18.15</v>
      </c>
      <c r="F84" s="88"/>
      <c r="G84" s="35"/>
      <c r="H84" s="49"/>
      <c r="I84" s="88"/>
      <c r="J84" s="88"/>
      <c r="K84" s="36"/>
      <c r="L84" s="36"/>
      <c r="M84" s="36"/>
      <c r="N84" s="36"/>
      <c r="O84" s="36"/>
      <c r="P84" s="36"/>
    </row>
    <row r="85" spans="1:16" s="294" customFormat="1" ht="16.5">
      <c r="A85" s="270">
        <f>A77+1</f>
        <v>48</v>
      </c>
      <c r="B85" s="296"/>
      <c r="C85" s="274" t="s">
        <v>223</v>
      </c>
      <c r="D85" s="270" t="s">
        <v>17</v>
      </c>
      <c r="E85" s="35">
        <v>95.5</v>
      </c>
      <c r="F85" s="88"/>
      <c r="G85" s="35"/>
      <c r="H85" s="49"/>
      <c r="I85" s="88"/>
      <c r="J85" s="88"/>
      <c r="K85" s="36"/>
      <c r="L85" s="36"/>
      <c r="M85" s="36"/>
      <c r="N85" s="36"/>
      <c r="O85" s="36"/>
      <c r="P85" s="36"/>
    </row>
    <row r="86" spans="1:16" s="294" customFormat="1" ht="16.5">
      <c r="A86" s="270"/>
      <c r="B86" s="296"/>
      <c r="C86" s="91" t="s">
        <v>219</v>
      </c>
      <c r="D86" s="270" t="s">
        <v>19</v>
      </c>
      <c r="E86" s="35">
        <f>1.6*E85</f>
        <v>152.8</v>
      </c>
      <c r="F86" s="88"/>
      <c r="G86" s="35"/>
      <c r="H86" s="49"/>
      <c r="I86" s="88"/>
      <c r="J86" s="88"/>
      <c r="K86" s="36"/>
      <c r="L86" s="36"/>
      <c r="M86" s="36"/>
      <c r="N86" s="36"/>
      <c r="O86" s="36"/>
      <c r="P86" s="36"/>
    </row>
    <row r="87" spans="1:16" s="294" customFormat="1" ht="16.5">
      <c r="A87" s="270">
        <f>A85+1</f>
        <v>49</v>
      </c>
      <c r="B87" s="296"/>
      <c r="C87" s="274" t="s">
        <v>224</v>
      </c>
      <c r="D87" s="270" t="s">
        <v>17</v>
      </c>
      <c r="E87" s="35">
        <f>E85</f>
        <v>95.5</v>
      </c>
      <c r="F87" s="88"/>
      <c r="G87" s="35"/>
      <c r="H87" s="49"/>
      <c r="I87" s="88"/>
      <c r="J87" s="88"/>
      <c r="K87" s="36"/>
      <c r="L87" s="36"/>
      <c r="M87" s="36"/>
      <c r="N87" s="36"/>
      <c r="O87" s="36"/>
      <c r="P87" s="36"/>
    </row>
    <row r="88" spans="1:16" s="294" customFormat="1" ht="16.5">
      <c r="A88" s="270"/>
      <c r="B88" s="296"/>
      <c r="C88" s="91" t="s">
        <v>40</v>
      </c>
      <c r="D88" s="270" t="s">
        <v>28</v>
      </c>
      <c r="E88" s="35">
        <f>0.35*E87</f>
        <v>33.425</v>
      </c>
      <c r="F88" s="88"/>
      <c r="G88" s="35"/>
      <c r="H88" s="49"/>
      <c r="I88" s="88"/>
      <c r="J88" s="88"/>
      <c r="K88" s="36"/>
      <c r="L88" s="36"/>
      <c r="M88" s="36"/>
      <c r="N88" s="36"/>
      <c r="O88" s="36"/>
      <c r="P88" s="36"/>
    </row>
    <row r="89" spans="1:16" s="294" customFormat="1" ht="16.5">
      <c r="A89" s="270">
        <f>A87+1</f>
        <v>50</v>
      </c>
      <c r="B89" s="54"/>
      <c r="C89" s="297" t="s">
        <v>220</v>
      </c>
      <c r="D89" s="280" t="s">
        <v>88</v>
      </c>
      <c r="E89" s="281">
        <v>1</v>
      </c>
      <c r="F89" s="62"/>
      <c r="G89" s="35"/>
      <c r="H89" s="49"/>
      <c r="I89" s="62"/>
      <c r="J89" s="56"/>
      <c r="K89" s="36"/>
      <c r="L89" s="36"/>
      <c r="M89" s="36"/>
      <c r="N89" s="36"/>
      <c r="O89" s="36"/>
      <c r="P89" s="36"/>
    </row>
    <row r="90" spans="1:16" s="57" customFormat="1" ht="16.5" customHeight="1">
      <c r="A90" s="270"/>
      <c r="B90" s="293"/>
      <c r="C90" s="120" t="s">
        <v>225</v>
      </c>
      <c r="D90" s="270"/>
      <c r="E90" s="35"/>
      <c r="F90" s="88"/>
      <c r="G90" s="35"/>
      <c r="H90" s="49"/>
      <c r="I90" s="88"/>
      <c r="J90" s="88"/>
      <c r="K90" s="36"/>
      <c r="L90" s="36"/>
      <c r="M90" s="36"/>
      <c r="N90" s="36"/>
      <c r="O90" s="36"/>
      <c r="P90" s="36"/>
    </row>
    <row r="91" spans="1:16" s="294" customFormat="1" ht="33">
      <c r="A91" s="270">
        <f>A89+1</f>
        <v>51</v>
      </c>
      <c r="B91" s="293"/>
      <c r="C91" s="274" t="s">
        <v>222</v>
      </c>
      <c r="D91" s="270" t="s">
        <v>17</v>
      </c>
      <c r="E91" s="35">
        <v>54.04</v>
      </c>
      <c r="F91" s="88"/>
      <c r="G91" s="35"/>
      <c r="H91" s="49"/>
      <c r="I91" s="88"/>
      <c r="J91" s="88"/>
      <c r="K91" s="36"/>
      <c r="L91" s="36"/>
      <c r="M91" s="36"/>
      <c r="N91" s="36"/>
      <c r="O91" s="36"/>
      <c r="P91" s="36"/>
    </row>
    <row r="92" spans="1:16" s="294" customFormat="1" ht="16.5">
      <c r="A92" s="270"/>
      <c r="B92" s="293"/>
      <c r="C92" s="91" t="s">
        <v>215</v>
      </c>
      <c r="D92" s="270" t="s">
        <v>17</v>
      </c>
      <c r="E92" s="35">
        <f>1.03*E91</f>
        <v>55.6612</v>
      </c>
      <c r="F92" s="88"/>
      <c r="G92" s="35"/>
      <c r="H92" s="49"/>
      <c r="I92" s="88"/>
      <c r="J92" s="88"/>
      <c r="K92" s="36"/>
      <c r="L92" s="36"/>
      <c r="M92" s="36"/>
      <c r="N92" s="36"/>
      <c r="O92" s="36"/>
      <c r="P92" s="36"/>
    </row>
    <row r="93" spans="1:16" s="294" customFormat="1" ht="16.5">
      <c r="A93" s="270"/>
      <c r="B93" s="293"/>
      <c r="C93" s="91" t="s">
        <v>25</v>
      </c>
      <c r="D93" s="270" t="s">
        <v>88</v>
      </c>
      <c r="E93" s="35">
        <f>2*E91</f>
        <v>108.08</v>
      </c>
      <c r="F93" s="88"/>
      <c r="G93" s="35"/>
      <c r="H93" s="49"/>
      <c r="I93" s="88"/>
      <c r="J93" s="88"/>
      <c r="K93" s="36"/>
      <c r="L93" s="36"/>
      <c r="M93" s="36"/>
      <c r="N93" s="36"/>
      <c r="O93" s="36"/>
      <c r="P93" s="36"/>
    </row>
    <row r="94" spans="1:16" s="294" customFormat="1" ht="16.5">
      <c r="A94" s="270"/>
      <c r="B94" s="293"/>
      <c r="C94" s="91" t="s">
        <v>213</v>
      </c>
      <c r="D94" s="270" t="s">
        <v>17</v>
      </c>
      <c r="E94" s="35">
        <f>4.12*E91</f>
        <v>222.6448</v>
      </c>
      <c r="F94" s="88"/>
      <c r="G94" s="35"/>
      <c r="H94" s="49"/>
      <c r="I94" s="88"/>
      <c r="J94" s="88"/>
      <c r="K94" s="36"/>
      <c r="L94" s="36"/>
      <c r="M94" s="36"/>
      <c r="N94" s="36"/>
      <c r="O94" s="36"/>
      <c r="P94" s="36"/>
    </row>
    <row r="95" spans="1:16" s="294" customFormat="1" ht="16.5">
      <c r="A95" s="270"/>
      <c r="B95" s="293"/>
      <c r="C95" s="91" t="s">
        <v>87</v>
      </c>
      <c r="D95" s="270" t="s">
        <v>88</v>
      </c>
      <c r="E95" s="35">
        <f>35*E91</f>
        <v>1891.3999999999999</v>
      </c>
      <c r="F95" s="88"/>
      <c r="G95" s="35"/>
      <c r="H95" s="49"/>
      <c r="I95" s="88"/>
      <c r="J95" s="88"/>
      <c r="K95" s="36"/>
      <c r="L95" s="36"/>
      <c r="M95" s="36"/>
      <c r="N95" s="36"/>
      <c r="O95" s="36"/>
      <c r="P95" s="36"/>
    </row>
    <row r="96" spans="1:16" s="294" customFormat="1" ht="16.5">
      <c r="A96" s="270"/>
      <c r="B96" s="293"/>
      <c r="C96" s="91" t="s">
        <v>214</v>
      </c>
      <c r="D96" s="270" t="s">
        <v>19</v>
      </c>
      <c r="E96" s="35">
        <f>0.8*E91</f>
        <v>43.232</v>
      </c>
      <c r="F96" s="88"/>
      <c r="G96" s="35"/>
      <c r="H96" s="49"/>
      <c r="I96" s="88"/>
      <c r="J96" s="88"/>
      <c r="K96" s="36"/>
      <c r="L96" s="36"/>
      <c r="M96" s="36"/>
      <c r="N96" s="36"/>
      <c r="O96" s="36"/>
      <c r="P96" s="36"/>
    </row>
    <row r="97" spans="1:16" s="294" customFormat="1" ht="16.5">
      <c r="A97" s="270"/>
      <c r="B97" s="293"/>
      <c r="C97" s="91" t="s">
        <v>217</v>
      </c>
      <c r="D97" s="270" t="s">
        <v>21</v>
      </c>
      <c r="E97" s="35">
        <f>1.5*E91</f>
        <v>81.06</v>
      </c>
      <c r="F97" s="88"/>
      <c r="G97" s="35"/>
      <c r="H97" s="49"/>
      <c r="I97" s="88"/>
      <c r="J97" s="88"/>
      <c r="K97" s="36"/>
      <c r="L97" s="36"/>
      <c r="M97" s="36"/>
      <c r="N97" s="36"/>
      <c r="O97" s="36"/>
      <c r="P97" s="36"/>
    </row>
    <row r="98" spans="1:16" s="294" customFormat="1" ht="33">
      <c r="A98" s="270">
        <f>A91+1</f>
        <v>52</v>
      </c>
      <c r="B98" s="296"/>
      <c r="C98" s="274" t="s">
        <v>218</v>
      </c>
      <c r="D98" s="270" t="s">
        <v>17</v>
      </c>
      <c r="E98" s="35">
        <v>19.6</v>
      </c>
      <c r="F98" s="88"/>
      <c r="G98" s="35"/>
      <c r="H98" s="49"/>
      <c r="I98" s="88"/>
      <c r="J98" s="88"/>
      <c r="K98" s="36"/>
      <c r="L98" s="36"/>
      <c r="M98" s="36"/>
      <c r="N98" s="36"/>
      <c r="O98" s="36"/>
      <c r="P98" s="36"/>
    </row>
    <row r="99" spans="1:16" s="294" customFormat="1" ht="16.5">
      <c r="A99" s="270"/>
      <c r="B99" s="293"/>
      <c r="C99" s="91" t="s">
        <v>215</v>
      </c>
      <c r="D99" s="270" t="s">
        <v>17</v>
      </c>
      <c r="E99" s="35">
        <f>1.03*E98</f>
        <v>20.188000000000002</v>
      </c>
      <c r="F99" s="88"/>
      <c r="G99" s="35"/>
      <c r="H99" s="49"/>
      <c r="I99" s="88"/>
      <c r="J99" s="88"/>
      <c r="K99" s="36"/>
      <c r="L99" s="36"/>
      <c r="M99" s="36"/>
      <c r="N99" s="36"/>
      <c r="O99" s="36"/>
      <c r="P99" s="36"/>
    </row>
    <row r="100" spans="1:16" s="294" customFormat="1" ht="16.5">
      <c r="A100" s="270"/>
      <c r="B100" s="293"/>
      <c r="C100" s="91" t="s">
        <v>213</v>
      </c>
      <c r="D100" s="270" t="s">
        <v>17</v>
      </c>
      <c r="E100" s="35">
        <f>2.06*E98</f>
        <v>40.376000000000005</v>
      </c>
      <c r="F100" s="88"/>
      <c r="G100" s="35"/>
      <c r="H100" s="49"/>
      <c r="I100" s="88"/>
      <c r="J100" s="88"/>
      <c r="K100" s="36"/>
      <c r="L100" s="36"/>
      <c r="M100" s="36"/>
      <c r="N100" s="36"/>
      <c r="O100" s="36"/>
      <c r="P100" s="36"/>
    </row>
    <row r="101" spans="1:16" s="294" customFormat="1" ht="16.5">
      <c r="A101" s="270"/>
      <c r="B101" s="293"/>
      <c r="C101" s="91" t="s">
        <v>216</v>
      </c>
      <c r="D101" s="270" t="s">
        <v>17</v>
      </c>
      <c r="E101" s="35">
        <f>1.03*E98</f>
        <v>20.188000000000002</v>
      </c>
      <c r="F101" s="88"/>
      <c r="G101" s="35"/>
      <c r="H101" s="49"/>
      <c r="I101" s="88"/>
      <c r="J101" s="88"/>
      <c r="K101" s="36"/>
      <c r="L101" s="36"/>
      <c r="M101" s="36"/>
      <c r="N101" s="36"/>
      <c r="O101" s="36"/>
      <c r="P101" s="36"/>
    </row>
    <row r="102" spans="1:16" s="294" customFormat="1" ht="16.5">
      <c r="A102" s="270"/>
      <c r="B102" s="293"/>
      <c r="C102" s="91" t="s">
        <v>25</v>
      </c>
      <c r="D102" s="270" t="s">
        <v>88</v>
      </c>
      <c r="E102" s="35">
        <f>2*E98</f>
        <v>39.2</v>
      </c>
      <c r="F102" s="88"/>
      <c r="G102" s="35"/>
      <c r="H102" s="49"/>
      <c r="I102" s="88"/>
      <c r="J102" s="88"/>
      <c r="K102" s="36"/>
      <c r="L102" s="36"/>
      <c r="M102" s="36"/>
      <c r="N102" s="36"/>
      <c r="O102" s="36"/>
      <c r="P102" s="36"/>
    </row>
    <row r="103" spans="1:16" s="294" customFormat="1" ht="16.5">
      <c r="A103" s="270"/>
      <c r="B103" s="293"/>
      <c r="C103" s="91" t="s">
        <v>87</v>
      </c>
      <c r="D103" s="270" t="s">
        <v>88</v>
      </c>
      <c r="E103" s="35">
        <f>25*E98</f>
        <v>490.00000000000006</v>
      </c>
      <c r="F103" s="88"/>
      <c r="G103" s="35"/>
      <c r="H103" s="49"/>
      <c r="I103" s="88"/>
      <c r="J103" s="88"/>
      <c r="K103" s="36"/>
      <c r="L103" s="36"/>
      <c r="M103" s="36"/>
      <c r="N103" s="36"/>
      <c r="O103" s="36"/>
      <c r="P103" s="36"/>
    </row>
    <row r="104" spans="1:16" s="294" customFormat="1" ht="16.5">
      <c r="A104" s="270"/>
      <c r="B104" s="293"/>
      <c r="C104" s="91" t="s">
        <v>214</v>
      </c>
      <c r="D104" s="270" t="s">
        <v>19</v>
      </c>
      <c r="E104" s="35">
        <f>0.8*E98</f>
        <v>15.680000000000001</v>
      </c>
      <c r="F104" s="88"/>
      <c r="G104" s="35"/>
      <c r="H104" s="49"/>
      <c r="I104" s="88"/>
      <c r="J104" s="88"/>
      <c r="K104" s="36"/>
      <c r="L104" s="36"/>
      <c r="M104" s="36"/>
      <c r="N104" s="36"/>
      <c r="O104" s="36"/>
      <c r="P104" s="36"/>
    </row>
    <row r="105" spans="1:16" s="294" customFormat="1" ht="16.5">
      <c r="A105" s="270"/>
      <c r="B105" s="293"/>
      <c r="C105" s="91" t="s">
        <v>217</v>
      </c>
      <c r="D105" s="270" t="s">
        <v>21</v>
      </c>
      <c r="E105" s="35">
        <f>1.5*E98</f>
        <v>29.400000000000002</v>
      </c>
      <c r="F105" s="88"/>
      <c r="G105" s="35"/>
      <c r="H105" s="49"/>
      <c r="I105" s="88"/>
      <c r="J105" s="88"/>
      <c r="K105" s="36"/>
      <c r="L105" s="36"/>
      <c r="M105" s="36"/>
      <c r="N105" s="36"/>
      <c r="O105" s="36"/>
      <c r="P105" s="36"/>
    </row>
    <row r="106" spans="1:16" s="294" customFormat="1" ht="16.5">
      <c r="A106" s="270">
        <f>A98+1</f>
        <v>53</v>
      </c>
      <c r="B106" s="296"/>
      <c r="C106" s="274" t="s">
        <v>223</v>
      </c>
      <c r="D106" s="270" t="s">
        <v>17</v>
      </c>
      <c r="E106" s="35">
        <v>127.68</v>
      </c>
      <c r="F106" s="88"/>
      <c r="G106" s="35"/>
      <c r="H106" s="49"/>
      <c r="I106" s="88"/>
      <c r="J106" s="88"/>
      <c r="K106" s="36"/>
      <c r="L106" s="36"/>
      <c r="M106" s="36"/>
      <c r="N106" s="36"/>
      <c r="O106" s="36"/>
      <c r="P106" s="36"/>
    </row>
    <row r="107" spans="1:16" s="294" customFormat="1" ht="16.5">
      <c r="A107" s="270"/>
      <c r="B107" s="296"/>
      <c r="C107" s="91" t="s">
        <v>219</v>
      </c>
      <c r="D107" s="270" t="s">
        <v>19</v>
      </c>
      <c r="E107" s="35">
        <f>1.6*E106</f>
        <v>204.288</v>
      </c>
      <c r="F107" s="88"/>
      <c r="G107" s="35"/>
      <c r="H107" s="49"/>
      <c r="I107" s="88"/>
      <c r="J107" s="88"/>
      <c r="K107" s="36"/>
      <c r="L107" s="36"/>
      <c r="M107" s="36"/>
      <c r="N107" s="36"/>
      <c r="O107" s="36"/>
      <c r="P107" s="36"/>
    </row>
    <row r="108" spans="1:16" s="294" customFormat="1" ht="16.5">
      <c r="A108" s="270">
        <f>A106+1</f>
        <v>54</v>
      </c>
      <c r="B108" s="296"/>
      <c r="C108" s="274" t="s">
        <v>224</v>
      </c>
      <c r="D108" s="270" t="s">
        <v>17</v>
      </c>
      <c r="E108" s="35">
        <f>E106</f>
        <v>127.68</v>
      </c>
      <c r="F108" s="88"/>
      <c r="G108" s="35"/>
      <c r="H108" s="49"/>
      <c r="I108" s="88"/>
      <c r="J108" s="88"/>
      <c r="K108" s="36"/>
      <c r="L108" s="36"/>
      <c r="M108" s="36"/>
      <c r="N108" s="36"/>
      <c r="O108" s="36"/>
      <c r="P108" s="36"/>
    </row>
    <row r="109" spans="1:16" s="294" customFormat="1" ht="16.5">
      <c r="A109" s="270"/>
      <c r="B109" s="296"/>
      <c r="C109" s="91" t="s">
        <v>40</v>
      </c>
      <c r="D109" s="270" t="s">
        <v>28</v>
      </c>
      <c r="E109" s="35">
        <f>0.35*E108</f>
        <v>44.688</v>
      </c>
      <c r="F109" s="88"/>
      <c r="G109" s="35"/>
      <c r="H109" s="49"/>
      <c r="I109" s="88"/>
      <c r="J109" s="88"/>
      <c r="K109" s="36"/>
      <c r="L109" s="36"/>
      <c r="M109" s="36"/>
      <c r="N109" s="36"/>
      <c r="O109" s="36"/>
      <c r="P109" s="36"/>
    </row>
    <row r="110" spans="1:16" s="294" customFormat="1" ht="16.5">
      <c r="A110" s="270">
        <f>A108+1</f>
        <v>55</v>
      </c>
      <c r="B110" s="54"/>
      <c r="C110" s="297" t="s">
        <v>220</v>
      </c>
      <c r="D110" s="280" t="s">
        <v>88</v>
      </c>
      <c r="E110" s="281">
        <v>1</v>
      </c>
      <c r="F110" s="62"/>
      <c r="G110" s="35"/>
      <c r="H110" s="49"/>
      <c r="I110" s="62"/>
      <c r="J110" s="56"/>
      <c r="K110" s="36"/>
      <c r="L110" s="36"/>
      <c r="M110" s="36"/>
      <c r="N110" s="36"/>
      <c r="O110" s="36"/>
      <c r="P110" s="36"/>
    </row>
    <row r="111" spans="1:16" s="57" customFormat="1" ht="16.5">
      <c r="A111" s="270"/>
      <c r="B111" s="54"/>
      <c r="C111" s="297" t="s">
        <v>226</v>
      </c>
      <c r="D111" s="280" t="s">
        <v>17</v>
      </c>
      <c r="E111" s="281">
        <f>E98</f>
        <v>19.6</v>
      </c>
      <c r="F111" s="62"/>
      <c r="G111" s="35"/>
      <c r="H111" s="49"/>
      <c r="I111" s="62"/>
      <c r="J111" s="56"/>
      <c r="K111" s="36"/>
      <c r="L111" s="36"/>
      <c r="M111" s="36"/>
      <c r="N111" s="36"/>
      <c r="O111" s="36"/>
      <c r="P111" s="36"/>
    </row>
    <row r="112" spans="1:16" s="57" customFormat="1" ht="16.5">
      <c r="A112" s="270"/>
      <c r="B112" s="293"/>
      <c r="C112" s="120" t="s">
        <v>257</v>
      </c>
      <c r="D112" s="270"/>
      <c r="E112" s="35"/>
      <c r="F112" s="88"/>
      <c r="G112" s="35"/>
      <c r="H112" s="49"/>
      <c r="I112" s="88"/>
      <c r="J112" s="88"/>
      <c r="K112" s="36"/>
      <c r="L112" s="36"/>
      <c r="M112" s="36"/>
      <c r="N112" s="36"/>
      <c r="O112" s="36"/>
      <c r="P112" s="36"/>
    </row>
    <row r="113" spans="1:16" s="294" customFormat="1" ht="49.5">
      <c r="A113" s="270">
        <f>A110+1</f>
        <v>56</v>
      </c>
      <c r="B113" s="293"/>
      <c r="C113" s="274" t="s">
        <v>258</v>
      </c>
      <c r="D113" s="270" t="s">
        <v>17</v>
      </c>
      <c r="E113" s="35">
        <f>22*3+(3+5.5)*2*3+E126</f>
        <v>161.7</v>
      </c>
      <c r="F113" s="88"/>
      <c r="G113" s="35"/>
      <c r="H113" s="49"/>
      <c r="I113" s="88"/>
      <c r="J113" s="88"/>
      <c r="K113" s="36"/>
      <c r="L113" s="36"/>
      <c r="M113" s="36"/>
      <c r="N113" s="36"/>
      <c r="O113" s="36"/>
      <c r="P113" s="36"/>
    </row>
    <row r="114" spans="1:16" s="294" customFormat="1" ht="16.5">
      <c r="A114" s="270"/>
      <c r="B114" s="293"/>
      <c r="C114" s="91" t="s">
        <v>215</v>
      </c>
      <c r="D114" s="270" t="s">
        <v>17</v>
      </c>
      <c r="E114" s="35">
        <f>1.03*E113</f>
        <v>166.551</v>
      </c>
      <c r="F114" s="88"/>
      <c r="G114" s="35"/>
      <c r="H114" s="49"/>
      <c r="I114" s="88"/>
      <c r="J114" s="88"/>
      <c r="K114" s="36"/>
      <c r="L114" s="36"/>
      <c r="M114" s="36"/>
      <c r="N114" s="36"/>
      <c r="O114" s="36"/>
      <c r="P114" s="36"/>
    </row>
    <row r="115" spans="1:16" s="294" customFormat="1" ht="16.5">
      <c r="A115" s="270"/>
      <c r="B115" s="293"/>
      <c r="C115" s="91" t="s">
        <v>25</v>
      </c>
      <c r="D115" s="270" t="s">
        <v>88</v>
      </c>
      <c r="E115" s="35">
        <f>2*E113</f>
        <v>323.4</v>
      </c>
      <c r="F115" s="88"/>
      <c r="G115" s="35"/>
      <c r="H115" s="49"/>
      <c r="I115" s="88"/>
      <c r="J115" s="88"/>
      <c r="K115" s="36"/>
      <c r="L115" s="36"/>
      <c r="M115" s="36"/>
      <c r="N115" s="36"/>
      <c r="O115" s="36"/>
      <c r="P115" s="36"/>
    </row>
    <row r="116" spans="1:16" s="294" customFormat="1" ht="16.5">
      <c r="A116" s="270"/>
      <c r="B116" s="293"/>
      <c r="C116" s="91" t="s">
        <v>216</v>
      </c>
      <c r="D116" s="270" t="s">
        <v>17</v>
      </c>
      <c r="E116" s="35">
        <v>117</v>
      </c>
      <c r="F116" s="88"/>
      <c r="G116" s="35"/>
      <c r="H116" s="49"/>
      <c r="I116" s="88"/>
      <c r="J116" s="88"/>
      <c r="K116" s="36"/>
      <c r="L116" s="36"/>
      <c r="M116" s="36"/>
      <c r="N116" s="36"/>
      <c r="O116" s="36"/>
      <c r="P116" s="36"/>
    </row>
    <row r="117" spans="1:16" s="294" customFormat="1" ht="16.5">
      <c r="A117" s="270"/>
      <c r="B117" s="293"/>
      <c r="C117" s="91" t="s">
        <v>213</v>
      </c>
      <c r="D117" s="270" t="s">
        <v>17</v>
      </c>
      <c r="E117" s="35">
        <f>4.12*E116+E126*1.03</f>
        <v>528.081</v>
      </c>
      <c r="F117" s="88"/>
      <c r="G117" s="35"/>
      <c r="H117" s="49"/>
      <c r="I117" s="88"/>
      <c r="J117" s="88"/>
      <c r="K117" s="36"/>
      <c r="L117" s="36"/>
      <c r="M117" s="36"/>
      <c r="N117" s="36"/>
      <c r="O117" s="36"/>
      <c r="P117" s="36"/>
    </row>
    <row r="118" spans="1:16" s="294" customFormat="1" ht="16.5">
      <c r="A118" s="270"/>
      <c r="B118" s="293"/>
      <c r="C118" s="91" t="s">
        <v>87</v>
      </c>
      <c r="D118" s="270" t="s">
        <v>88</v>
      </c>
      <c r="E118" s="35">
        <f>35*E113</f>
        <v>5659.5</v>
      </c>
      <c r="F118" s="88"/>
      <c r="G118" s="35"/>
      <c r="H118" s="49"/>
      <c r="I118" s="88"/>
      <c r="J118" s="88"/>
      <c r="K118" s="36"/>
      <c r="L118" s="36"/>
      <c r="M118" s="36"/>
      <c r="N118" s="36"/>
      <c r="O118" s="36"/>
      <c r="P118" s="36"/>
    </row>
    <row r="119" spans="1:16" s="294" customFormat="1" ht="16.5">
      <c r="A119" s="270"/>
      <c r="B119" s="293"/>
      <c r="C119" s="91" t="s">
        <v>214</v>
      </c>
      <c r="D119" s="270" t="s">
        <v>19</v>
      </c>
      <c r="E119" s="35">
        <f>0.8*E113</f>
        <v>129.35999999999999</v>
      </c>
      <c r="F119" s="88"/>
      <c r="G119" s="35"/>
      <c r="H119" s="49"/>
      <c r="I119" s="88"/>
      <c r="J119" s="88"/>
      <c r="K119" s="36"/>
      <c r="L119" s="36"/>
      <c r="M119" s="36"/>
      <c r="N119" s="36"/>
      <c r="O119" s="36"/>
      <c r="P119" s="36"/>
    </row>
    <row r="120" spans="1:16" s="294" customFormat="1" ht="16.5">
      <c r="A120" s="270"/>
      <c r="B120" s="293"/>
      <c r="C120" s="91" t="s">
        <v>217</v>
      </c>
      <c r="D120" s="270" t="s">
        <v>21</v>
      </c>
      <c r="E120" s="35">
        <f>1.5*E113</f>
        <v>242.54999999999998</v>
      </c>
      <c r="F120" s="88"/>
      <c r="G120" s="35"/>
      <c r="H120" s="49"/>
      <c r="I120" s="88"/>
      <c r="J120" s="88"/>
      <c r="K120" s="36"/>
      <c r="L120" s="36"/>
      <c r="M120" s="36"/>
      <c r="N120" s="36"/>
      <c r="O120" s="36"/>
      <c r="P120" s="36"/>
    </row>
    <row r="121" spans="1:16" s="294" customFormat="1" ht="16.5">
      <c r="A121" s="270">
        <f>A113+1</f>
        <v>57</v>
      </c>
      <c r="B121" s="296"/>
      <c r="C121" s="274" t="s">
        <v>223</v>
      </c>
      <c r="D121" s="270" t="s">
        <v>17</v>
      </c>
      <c r="E121" s="35">
        <f>E113</f>
        <v>161.7</v>
      </c>
      <c r="F121" s="88"/>
      <c r="G121" s="35"/>
      <c r="H121" s="49"/>
      <c r="I121" s="88"/>
      <c r="J121" s="88"/>
      <c r="K121" s="36"/>
      <c r="L121" s="36"/>
      <c r="M121" s="36"/>
      <c r="N121" s="36"/>
      <c r="O121" s="36"/>
      <c r="P121" s="36"/>
    </row>
    <row r="122" spans="1:16" s="294" customFormat="1" ht="16.5">
      <c r="A122" s="270"/>
      <c r="B122" s="296"/>
      <c r="C122" s="91" t="s">
        <v>219</v>
      </c>
      <c r="D122" s="270" t="s">
        <v>19</v>
      </c>
      <c r="E122" s="35">
        <f>1.6*E121</f>
        <v>258.71999999999997</v>
      </c>
      <c r="F122" s="88"/>
      <c r="G122" s="35"/>
      <c r="H122" s="49"/>
      <c r="I122" s="88"/>
      <c r="J122" s="88"/>
      <c r="K122" s="36"/>
      <c r="L122" s="36"/>
      <c r="M122" s="36"/>
      <c r="N122" s="36"/>
      <c r="O122" s="36"/>
      <c r="P122" s="36"/>
    </row>
    <row r="123" spans="1:16" s="294" customFormat="1" ht="16.5">
      <c r="A123" s="270">
        <f>A121+1</f>
        <v>58</v>
      </c>
      <c r="B123" s="296"/>
      <c r="C123" s="274" t="s">
        <v>224</v>
      </c>
      <c r="D123" s="270" t="s">
        <v>17</v>
      </c>
      <c r="E123" s="35">
        <f>E121</f>
        <v>161.7</v>
      </c>
      <c r="F123" s="88"/>
      <c r="G123" s="35"/>
      <c r="H123" s="49"/>
      <c r="I123" s="88"/>
      <c r="J123" s="88"/>
      <c r="K123" s="36"/>
      <c r="L123" s="36"/>
      <c r="M123" s="36"/>
      <c r="N123" s="36"/>
      <c r="O123" s="36"/>
      <c r="P123" s="36"/>
    </row>
    <row r="124" spans="1:16" s="294" customFormat="1" ht="16.5">
      <c r="A124" s="270"/>
      <c r="B124" s="296"/>
      <c r="C124" s="91" t="s">
        <v>40</v>
      </c>
      <c r="D124" s="270" t="s">
        <v>28</v>
      </c>
      <c r="E124" s="35">
        <f>0.35*E123</f>
        <v>56.59499999999999</v>
      </c>
      <c r="F124" s="88"/>
      <c r="G124" s="35"/>
      <c r="H124" s="49"/>
      <c r="I124" s="88"/>
      <c r="J124" s="88"/>
      <c r="K124" s="36"/>
      <c r="L124" s="36"/>
      <c r="M124" s="36"/>
      <c r="N124" s="36"/>
      <c r="O124" s="36"/>
      <c r="P124" s="36"/>
    </row>
    <row r="125" spans="1:16" s="294" customFormat="1" ht="16.5">
      <c r="A125" s="270">
        <f>A123+1</f>
        <v>59</v>
      </c>
      <c r="B125" s="54"/>
      <c r="C125" s="297" t="s">
        <v>220</v>
      </c>
      <c r="D125" s="280" t="s">
        <v>88</v>
      </c>
      <c r="E125" s="281">
        <v>2</v>
      </c>
      <c r="F125" s="62"/>
      <c r="G125" s="35"/>
      <c r="H125" s="49"/>
      <c r="I125" s="62"/>
      <c r="J125" s="56"/>
      <c r="K125" s="36"/>
      <c r="L125" s="36"/>
      <c r="M125" s="36"/>
      <c r="N125" s="36"/>
      <c r="O125" s="36"/>
      <c r="P125" s="36"/>
    </row>
    <row r="126" spans="1:16" s="57" customFormat="1" ht="16.5">
      <c r="A126" s="270">
        <f>A125+1</f>
        <v>60</v>
      </c>
      <c r="B126" s="54"/>
      <c r="C126" s="297" t="s">
        <v>226</v>
      </c>
      <c r="D126" s="280" t="s">
        <v>17</v>
      </c>
      <c r="E126" s="281">
        <f>28+16.7</f>
        <v>44.7</v>
      </c>
      <c r="F126" s="62"/>
      <c r="G126" s="35"/>
      <c r="H126" s="49"/>
      <c r="I126" s="62"/>
      <c r="J126" s="56"/>
      <c r="K126" s="36"/>
      <c r="L126" s="36"/>
      <c r="M126" s="36"/>
      <c r="N126" s="36"/>
      <c r="O126" s="36"/>
      <c r="P126" s="36"/>
    </row>
    <row r="127" spans="1:16" s="57" customFormat="1" ht="17.25" thickBot="1">
      <c r="A127" s="38"/>
      <c r="B127" s="58"/>
      <c r="C127" s="59"/>
      <c r="D127" s="59"/>
      <c r="E127" s="59"/>
      <c r="F127" s="60"/>
      <c r="G127" s="61"/>
      <c r="H127" s="61"/>
      <c r="I127" s="62"/>
      <c r="J127" s="62"/>
      <c r="K127" s="63"/>
      <c r="L127" s="63"/>
      <c r="M127" s="64"/>
      <c r="N127" s="64"/>
      <c r="O127" s="64"/>
      <c r="P127" s="64"/>
    </row>
    <row r="128" spans="1:16" s="65" customFormat="1" ht="18.75" customHeight="1">
      <c r="A128" s="128"/>
      <c r="B128" s="129"/>
      <c r="C128" s="130" t="s">
        <v>35</v>
      </c>
      <c r="D128" s="129" t="s">
        <v>326</v>
      </c>
      <c r="E128" s="129"/>
      <c r="F128" s="129"/>
      <c r="G128" s="131"/>
      <c r="H128" s="132"/>
      <c r="I128" s="131"/>
      <c r="J128" s="131"/>
      <c r="K128" s="131"/>
      <c r="L128" s="133">
        <f>SUM(L19:L127)</f>
        <v>0</v>
      </c>
      <c r="M128" s="133">
        <f>SUM(M19:M127)</f>
        <v>0</v>
      </c>
      <c r="N128" s="133">
        <f>SUM(N19:N127)</f>
        <v>0</v>
      </c>
      <c r="O128" s="133">
        <f>SUM(O19:O127)</f>
        <v>0</v>
      </c>
      <c r="P128" s="134">
        <f>SUM(M128:O128)</f>
        <v>0</v>
      </c>
    </row>
    <row r="129" spans="1:16" s="135" customFormat="1" ht="16.5">
      <c r="A129" s="343" t="s">
        <v>327</v>
      </c>
      <c r="B129" s="343"/>
      <c r="C129" s="343"/>
      <c r="D129" s="343"/>
      <c r="E129" s="343"/>
      <c r="F129" s="343"/>
      <c r="G129" s="343"/>
      <c r="H129" s="343"/>
      <c r="I129" s="343"/>
      <c r="J129" s="343"/>
      <c r="K129" s="343"/>
      <c r="L129" s="74"/>
      <c r="M129" s="74"/>
      <c r="N129" s="74">
        <f>ROUND(N128*0.05,2)</f>
        <v>0</v>
      </c>
      <c r="O129" s="74"/>
      <c r="P129" s="75">
        <f>SUM(M129:O129)</f>
        <v>0</v>
      </c>
    </row>
    <row r="130" spans="1:16" s="28" customFormat="1" ht="17.25" thickBot="1">
      <c r="A130" s="349" t="s">
        <v>36</v>
      </c>
      <c r="B130" s="349"/>
      <c r="C130" s="349"/>
      <c r="D130" s="349"/>
      <c r="E130" s="349"/>
      <c r="F130" s="349"/>
      <c r="G130" s="349"/>
      <c r="H130" s="349"/>
      <c r="I130" s="349"/>
      <c r="J130" s="349"/>
      <c r="K130" s="349"/>
      <c r="L130" s="76">
        <f>SUM(L128:L129)</f>
        <v>0</v>
      </c>
      <c r="M130" s="76">
        <f>SUM(M128:M129)</f>
        <v>0</v>
      </c>
      <c r="N130" s="76">
        <f>SUM(N128:N129)</f>
        <v>0</v>
      </c>
      <c r="O130" s="76">
        <f>SUM(O128:O129)</f>
        <v>0</v>
      </c>
      <c r="P130" s="77">
        <f>SUM(M130:O130)</f>
        <v>0</v>
      </c>
    </row>
    <row r="131" spans="1:16" s="78" customFormat="1" ht="16.5">
      <c r="A131" s="79"/>
      <c r="B131" s="79"/>
      <c r="C131" s="80"/>
      <c r="D131" s="81"/>
      <c r="E131" s="81"/>
      <c r="F131" s="81"/>
      <c r="G131" s="81"/>
      <c r="H131" s="81"/>
      <c r="I131" s="81"/>
      <c r="J131" s="81"/>
      <c r="K131" s="81"/>
      <c r="L131" s="80"/>
      <c r="M131" s="80"/>
      <c r="N131" s="80"/>
      <c r="O131" s="80"/>
      <c r="P131" s="82"/>
    </row>
    <row r="132" spans="1:15" s="82" customFormat="1" ht="16.5">
      <c r="A132" s="350" t="s">
        <v>310</v>
      </c>
      <c r="B132" s="350"/>
      <c r="C132" s="350"/>
      <c r="D132" s="350"/>
      <c r="E132" s="350"/>
      <c r="F132" s="350"/>
      <c r="G132" s="350"/>
      <c r="H132" s="80"/>
      <c r="I132" s="351" t="s">
        <v>37</v>
      </c>
      <c r="J132" s="351"/>
      <c r="K132" s="351"/>
      <c r="L132" s="351"/>
      <c r="M132" s="351"/>
      <c r="N132" s="351"/>
      <c r="O132" s="351"/>
    </row>
    <row r="133" spans="1:15" s="82" customFormat="1" ht="16.5">
      <c r="A133" s="352" t="s">
        <v>311</v>
      </c>
      <c r="B133" s="352"/>
      <c r="C133" s="352"/>
      <c r="D133" s="83"/>
      <c r="E133" s="83"/>
      <c r="F133" s="83"/>
      <c r="G133" s="83"/>
      <c r="H133" s="80"/>
      <c r="I133" s="353" t="s">
        <v>38</v>
      </c>
      <c r="J133" s="353"/>
      <c r="K133" s="353"/>
      <c r="L133" s="353"/>
      <c r="M133" s="353"/>
      <c r="N133" s="353"/>
      <c r="O133" s="353"/>
    </row>
    <row r="134" spans="1:16" s="82" customFormat="1" ht="16.5">
      <c r="A134" s="84"/>
      <c r="B134" s="84"/>
      <c r="C134" s="84"/>
      <c r="D134" s="84"/>
      <c r="E134" s="85"/>
      <c r="F134" s="84"/>
      <c r="G134" s="86"/>
      <c r="H134" s="84"/>
      <c r="I134" s="84"/>
      <c r="J134" s="84"/>
      <c r="K134" s="84"/>
      <c r="L134" s="84"/>
      <c r="M134" s="84"/>
      <c r="N134" s="84"/>
      <c r="O134" s="84"/>
      <c r="P134" s="84"/>
    </row>
  </sheetData>
  <sheetProtection/>
  <mergeCells count="29">
    <mergeCell ref="A130:K130"/>
    <mergeCell ref="A1:P1"/>
    <mergeCell ref="A2:P2"/>
    <mergeCell ref="A3:P3"/>
    <mergeCell ref="A5:C5"/>
    <mergeCell ref="D5:P5"/>
    <mergeCell ref="A8:C8"/>
    <mergeCell ref="D8:P8"/>
    <mergeCell ref="A6:C6"/>
    <mergeCell ref="D6:P6"/>
    <mergeCell ref="C14:C15"/>
    <mergeCell ref="D14:D15"/>
    <mergeCell ref="D7:P7"/>
    <mergeCell ref="O10:P10"/>
    <mergeCell ref="A11:P11"/>
    <mergeCell ref="A12:D12"/>
    <mergeCell ref="A7:C7"/>
    <mergeCell ref="A9:B9"/>
    <mergeCell ref="C9:P9"/>
    <mergeCell ref="A133:C133"/>
    <mergeCell ref="I133:O133"/>
    <mergeCell ref="E14:E15"/>
    <mergeCell ref="F14:K14"/>
    <mergeCell ref="L14:P14"/>
    <mergeCell ref="A14:A15"/>
    <mergeCell ref="A132:G132"/>
    <mergeCell ref="I132:O132"/>
    <mergeCell ref="A129:K129"/>
    <mergeCell ref="B14:B15"/>
  </mergeCells>
  <printOptions/>
  <pageMargins left="0.25" right="0.25" top="0.5" bottom="0.5" header="0.3" footer="0.3"/>
  <pageSetup horizontalDpi="600" verticalDpi="600" orientation="landscape" scale="79" r:id="rId1"/>
</worksheet>
</file>

<file path=xl/worksheets/sheet8.xml><?xml version="1.0" encoding="utf-8"?>
<worksheet xmlns="http://schemas.openxmlformats.org/spreadsheetml/2006/main" xmlns:r="http://schemas.openxmlformats.org/officeDocument/2006/relationships">
  <dimension ref="A1:P27"/>
  <sheetViews>
    <sheetView showZeros="0" tabSelected="1" zoomScale="75" zoomScaleNormal="75" zoomScalePageLayoutView="0" workbookViewId="0" topLeftCell="A1">
      <selection activeCell="J35" sqref="J35"/>
    </sheetView>
  </sheetViews>
  <sheetFormatPr defaultColWidth="7.140625" defaultRowHeight="15"/>
  <cols>
    <col min="1" max="1" width="5.7109375" style="84" customWidth="1"/>
    <col min="2" max="2" width="5.28125" style="84" customWidth="1"/>
    <col min="3" max="3" width="39.8515625" style="84" customWidth="1"/>
    <col min="4" max="4" width="7.7109375" style="84" customWidth="1"/>
    <col min="5" max="5" width="8.421875" style="85" customWidth="1"/>
    <col min="6" max="6" width="9.28125" style="84" customWidth="1"/>
    <col min="7" max="7" width="9.140625" style="86" customWidth="1"/>
    <col min="8" max="11" width="9.140625" style="84" customWidth="1"/>
    <col min="12" max="16" width="8.8515625" style="84" customWidth="1"/>
    <col min="17" max="228" width="9.140625" style="84" customWidth="1"/>
    <col min="229" max="16384" width="7.140625" style="84" customWidth="1"/>
  </cols>
  <sheetData>
    <row r="1" spans="1:16" s="1" customFormat="1" ht="18">
      <c r="A1" s="337" t="s">
        <v>309</v>
      </c>
      <c r="B1" s="337"/>
      <c r="C1" s="337"/>
      <c r="D1" s="337"/>
      <c r="E1" s="337"/>
      <c r="F1" s="337"/>
      <c r="G1" s="337"/>
      <c r="H1" s="337"/>
      <c r="I1" s="337"/>
      <c r="J1" s="337"/>
      <c r="K1" s="337"/>
      <c r="L1" s="337"/>
      <c r="M1" s="337"/>
      <c r="N1" s="337"/>
      <c r="O1" s="337"/>
      <c r="P1" s="337"/>
    </row>
    <row r="2" spans="1:16" s="2" customFormat="1" ht="18">
      <c r="A2" s="338" t="s">
        <v>142</v>
      </c>
      <c r="B2" s="338"/>
      <c r="C2" s="338"/>
      <c r="D2" s="338"/>
      <c r="E2" s="338"/>
      <c r="F2" s="338"/>
      <c r="G2" s="338"/>
      <c r="H2" s="338"/>
      <c r="I2" s="338"/>
      <c r="J2" s="338"/>
      <c r="K2" s="338"/>
      <c r="L2" s="338"/>
      <c r="M2" s="338"/>
      <c r="N2" s="338"/>
      <c r="O2" s="338"/>
      <c r="P2" s="338"/>
    </row>
    <row r="3" spans="1:16" s="3" customFormat="1" ht="12.75">
      <c r="A3" s="339" t="s">
        <v>2</v>
      </c>
      <c r="B3" s="339"/>
      <c r="C3" s="339"/>
      <c r="D3" s="339"/>
      <c r="E3" s="339"/>
      <c r="F3" s="339"/>
      <c r="G3" s="339"/>
      <c r="H3" s="339"/>
      <c r="I3" s="339"/>
      <c r="J3" s="339"/>
      <c r="K3" s="339"/>
      <c r="L3" s="339"/>
      <c r="M3" s="339"/>
      <c r="N3" s="339"/>
      <c r="O3" s="339"/>
      <c r="P3" s="339"/>
    </row>
    <row r="4" spans="1:16" s="9" customFormat="1" ht="15.75">
      <c r="A4" s="4"/>
      <c r="B4" s="5"/>
      <c r="C4" s="6"/>
      <c r="D4" s="7"/>
      <c r="E4" s="5"/>
      <c r="F4" s="4"/>
      <c r="G4" s="4"/>
      <c r="H4" s="4"/>
      <c r="I4" s="4"/>
      <c r="J4" s="4"/>
      <c r="K4" s="4"/>
      <c r="L4" s="4"/>
      <c r="M4" s="8"/>
      <c r="N4" s="8"/>
      <c r="O4" s="8"/>
      <c r="P4" s="8"/>
    </row>
    <row r="5" spans="1:16" s="10" customFormat="1" ht="14.25" customHeight="1">
      <c r="A5" s="340" t="s">
        <v>3</v>
      </c>
      <c r="B5" s="340"/>
      <c r="C5" s="340"/>
      <c r="D5" s="341" t="s">
        <v>359</v>
      </c>
      <c r="E5" s="341"/>
      <c r="F5" s="341"/>
      <c r="G5" s="341"/>
      <c r="H5" s="341"/>
      <c r="I5" s="341"/>
      <c r="J5" s="341"/>
      <c r="K5" s="341"/>
      <c r="L5" s="341"/>
      <c r="M5" s="341"/>
      <c r="N5" s="341"/>
      <c r="O5" s="341"/>
      <c r="P5" s="341"/>
    </row>
    <row r="6" spans="1:16" s="10" customFormat="1" ht="14.25" customHeight="1">
      <c r="A6" s="340" t="s">
        <v>4</v>
      </c>
      <c r="B6" s="340"/>
      <c r="C6" s="340"/>
      <c r="D6" s="341" t="s">
        <v>360</v>
      </c>
      <c r="E6" s="341"/>
      <c r="F6" s="341"/>
      <c r="G6" s="341"/>
      <c r="H6" s="341"/>
      <c r="I6" s="341"/>
      <c r="J6" s="341"/>
      <c r="K6" s="341"/>
      <c r="L6" s="341"/>
      <c r="M6" s="341"/>
      <c r="N6" s="341"/>
      <c r="O6" s="341"/>
      <c r="P6" s="341"/>
    </row>
    <row r="7" spans="1:16" s="10" customFormat="1" ht="16.5">
      <c r="A7" s="335" t="s">
        <v>5</v>
      </c>
      <c r="B7" s="335"/>
      <c r="C7" s="335"/>
      <c r="D7" s="341" t="s">
        <v>197</v>
      </c>
      <c r="E7" s="341"/>
      <c r="F7" s="341"/>
      <c r="G7" s="341"/>
      <c r="H7" s="341"/>
      <c r="I7" s="341"/>
      <c r="J7" s="341"/>
      <c r="K7" s="341"/>
      <c r="L7" s="341"/>
      <c r="M7" s="341"/>
      <c r="N7" s="341"/>
      <c r="O7" s="341"/>
      <c r="P7" s="341"/>
    </row>
    <row r="8" spans="1:16" s="10" customFormat="1" ht="16.5" customHeight="1">
      <c r="A8" s="335" t="s">
        <v>6</v>
      </c>
      <c r="B8" s="335"/>
      <c r="C8" s="335"/>
      <c r="D8" s="342" t="s">
        <v>198</v>
      </c>
      <c r="E8" s="342"/>
      <c r="F8" s="342"/>
      <c r="G8" s="342"/>
      <c r="H8" s="342"/>
      <c r="I8" s="342"/>
      <c r="J8" s="342"/>
      <c r="K8" s="342"/>
      <c r="L8" s="342"/>
      <c r="M8" s="342"/>
      <c r="N8" s="342"/>
      <c r="O8" s="342"/>
      <c r="P8" s="342"/>
    </row>
    <row r="9" spans="1:16" s="217" customFormat="1" ht="55.5" customHeight="1">
      <c r="A9" s="362" t="s">
        <v>314</v>
      </c>
      <c r="B9" s="362"/>
      <c r="C9" s="362" t="s">
        <v>315</v>
      </c>
      <c r="D9" s="362"/>
      <c r="E9" s="362"/>
      <c r="F9" s="362"/>
      <c r="G9" s="362"/>
      <c r="H9" s="362"/>
      <c r="I9" s="362"/>
      <c r="J9" s="362"/>
      <c r="K9" s="362"/>
      <c r="L9" s="362"/>
      <c r="M9" s="362"/>
      <c r="N9" s="362"/>
      <c r="O9" s="362"/>
      <c r="P9" s="362"/>
    </row>
    <row r="10" spans="1:16" s="16" customFormat="1" ht="16.5">
      <c r="A10" s="17" t="s">
        <v>343</v>
      </c>
      <c r="B10" s="17"/>
      <c r="C10" s="17"/>
      <c r="D10" s="17"/>
      <c r="E10" s="17"/>
      <c r="F10" s="12"/>
      <c r="G10" s="12"/>
      <c r="H10" s="12"/>
      <c r="I10" s="12"/>
      <c r="J10" s="12"/>
      <c r="K10" s="12"/>
      <c r="L10" s="18"/>
      <c r="M10" s="18" t="s">
        <v>7</v>
      </c>
      <c r="N10" s="19"/>
      <c r="O10" s="336">
        <f>P24</f>
        <v>0</v>
      </c>
      <c r="P10" s="336"/>
    </row>
    <row r="11" spans="1:16" s="11" customFormat="1" ht="16.5">
      <c r="A11" s="345" t="s">
        <v>313</v>
      </c>
      <c r="B11" s="345"/>
      <c r="C11" s="345"/>
      <c r="D11" s="345"/>
      <c r="E11" s="345"/>
      <c r="F11" s="345"/>
      <c r="G11" s="345"/>
      <c r="H11" s="345"/>
      <c r="I11" s="345"/>
      <c r="J11" s="345"/>
      <c r="K11" s="345"/>
      <c r="L11" s="345"/>
      <c r="M11" s="345"/>
      <c r="N11" s="345"/>
      <c r="O11" s="345"/>
      <c r="P11" s="345"/>
    </row>
    <row r="12" spans="1:16" s="11" customFormat="1" ht="16.5" hidden="1">
      <c r="A12" s="346"/>
      <c r="B12" s="346"/>
      <c r="C12" s="346"/>
      <c r="D12" s="346"/>
      <c r="E12" s="20"/>
      <c r="F12" s="21"/>
      <c r="G12" s="21"/>
      <c r="H12" s="21"/>
      <c r="I12" s="21">
        <v>3</v>
      </c>
      <c r="J12" s="21"/>
      <c r="K12" s="21"/>
      <c r="L12" s="21"/>
      <c r="M12" s="22"/>
      <c r="N12" s="22"/>
      <c r="O12" s="22"/>
      <c r="P12" s="23"/>
    </row>
    <row r="13" spans="1:16" s="28" customFormat="1" ht="16.5">
      <c r="A13" s="24"/>
      <c r="B13" s="24"/>
      <c r="C13" s="25"/>
      <c r="D13" s="25"/>
      <c r="E13" s="26"/>
      <c r="F13" s="24"/>
      <c r="G13" s="24"/>
      <c r="H13" s="24"/>
      <c r="I13" s="24"/>
      <c r="J13" s="24"/>
      <c r="K13" s="24"/>
      <c r="L13" s="24"/>
      <c r="M13" s="27"/>
      <c r="N13" s="27"/>
      <c r="O13" s="27"/>
      <c r="P13" s="27"/>
    </row>
    <row r="14" spans="1:16" s="124" customFormat="1" ht="12.75">
      <c r="A14" s="354" t="s">
        <v>8</v>
      </c>
      <c r="B14" s="354" t="s">
        <v>9</v>
      </c>
      <c r="C14" s="361" t="s">
        <v>10</v>
      </c>
      <c r="D14" s="354" t="s">
        <v>11</v>
      </c>
      <c r="E14" s="354" t="s">
        <v>12</v>
      </c>
      <c r="F14" s="354" t="s">
        <v>13</v>
      </c>
      <c r="G14" s="354"/>
      <c r="H14" s="354"/>
      <c r="I14" s="354"/>
      <c r="J14" s="354"/>
      <c r="K14" s="354"/>
      <c r="L14" s="354" t="s">
        <v>325</v>
      </c>
      <c r="M14" s="354"/>
      <c r="N14" s="354"/>
      <c r="O14" s="354"/>
      <c r="P14" s="354"/>
    </row>
    <row r="15" spans="1:16" s="124" customFormat="1" ht="51">
      <c r="A15" s="354"/>
      <c r="B15" s="354"/>
      <c r="C15" s="361"/>
      <c r="D15" s="354"/>
      <c r="E15" s="354"/>
      <c r="F15" s="122" t="s">
        <v>14</v>
      </c>
      <c r="G15" s="122" t="s">
        <v>344</v>
      </c>
      <c r="H15" s="122" t="s">
        <v>317</v>
      </c>
      <c r="I15" s="122" t="s">
        <v>318</v>
      </c>
      <c r="J15" s="122" t="s">
        <v>319</v>
      </c>
      <c r="K15" s="122" t="s">
        <v>320</v>
      </c>
      <c r="L15" s="122" t="s">
        <v>16</v>
      </c>
      <c r="M15" s="122" t="s">
        <v>321</v>
      </c>
      <c r="N15" s="122" t="s">
        <v>322</v>
      </c>
      <c r="O15" s="122" t="s">
        <v>323</v>
      </c>
      <c r="P15" s="122" t="s">
        <v>324</v>
      </c>
    </row>
    <row r="16" spans="1:16" s="124" customFormat="1" ht="12.75">
      <c r="A16" s="123">
        <v>1</v>
      </c>
      <c r="B16" s="123"/>
      <c r="C16" s="125">
        <v>2</v>
      </c>
      <c r="D16" s="123">
        <v>3</v>
      </c>
      <c r="E16" s="123">
        <v>4</v>
      </c>
      <c r="F16" s="123">
        <v>5</v>
      </c>
      <c r="G16" s="123">
        <v>6</v>
      </c>
      <c r="H16" s="123">
        <v>7</v>
      </c>
      <c r="I16" s="123">
        <v>8</v>
      </c>
      <c r="J16" s="123">
        <v>9</v>
      </c>
      <c r="K16" s="123">
        <v>10</v>
      </c>
      <c r="L16" s="123">
        <v>11</v>
      </c>
      <c r="M16" s="123">
        <v>12</v>
      </c>
      <c r="N16" s="123">
        <v>13</v>
      </c>
      <c r="O16" s="123">
        <v>14</v>
      </c>
      <c r="P16" s="123">
        <v>15</v>
      </c>
    </row>
    <row r="17" spans="1:16" s="127" customFormat="1" ht="16.5">
      <c r="A17" s="126"/>
      <c r="B17" s="126"/>
      <c r="C17" s="126"/>
      <c r="D17" s="126"/>
      <c r="E17" s="126"/>
      <c r="F17" s="126"/>
      <c r="G17" s="126"/>
      <c r="H17" s="126"/>
      <c r="I17" s="126"/>
      <c r="J17" s="126"/>
      <c r="K17" s="126"/>
      <c r="L17" s="126"/>
      <c r="M17" s="126"/>
      <c r="N17" s="126"/>
      <c r="O17" s="126"/>
      <c r="P17" s="126"/>
    </row>
    <row r="18" spans="1:16" s="119" customFormat="1" ht="33">
      <c r="A18" s="52">
        <f>A13+1</f>
        <v>1</v>
      </c>
      <c r="B18" s="117"/>
      <c r="C18" s="118" t="s">
        <v>158</v>
      </c>
      <c r="D18" s="52" t="s">
        <v>31</v>
      </c>
      <c r="E18" s="48">
        <v>1</v>
      </c>
      <c r="F18" s="49"/>
      <c r="G18" s="35"/>
      <c r="H18" s="49"/>
      <c r="I18" s="49"/>
      <c r="J18" s="49"/>
      <c r="K18" s="36"/>
      <c r="L18" s="36"/>
      <c r="M18" s="36"/>
      <c r="N18" s="36"/>
      <c r="O18" s="36"/>
      <c r="P18" s="36"/>
    </row>
    <row r="19" spans="1:16" s="119" customFormat="1" ht="36.75" customHeight="1">
      <c r="A19" s="52">
        <v>2</v>
      </c>
      <c r="B19" s="117"/>
      <c r="C19" s="118" t="s">
        <v>160</v>
      </c>
      <c r="D19" s="52" t="s">
        <v>31</v>
      </c>
      <c r="E19" s="48">
        <v>1</v>
      </c>
      <c r="F19" s="49"/>
      <c r="G19" s="35"/>
      <c r="H19" s="49"/>
      <c r="I19" s="49"/>
      <c r="J19" s="49"/>
      <c r="K19" s="36"/>
      <c r="L19" s="36"/>
      <c r="M19" s="36"/>
      <c r="N19" s="36"/>
      <c r="O19" s="36"/>
      <c r="P19" s="36"/>
    </row>
    <row r="20" spans="1:16" s="119" customFormat="1" ht="49.5">
      <c r="A20" s="52">
        <v>3</v>
      </c>
      <c r="B20" s="117"/>
      <c r="C20" s="118" t="s">
        <v>284</v>
      </c>
      <c r="D20" s="52" t="s">
        <v>31</v>
      </c>
      <c r="E20" s="48">
        <v>93</v>
      </c>
      <c r="F20" s="94"/>
      <c r="G20" s="49"/>
      <c r="H20" s="49"/>
      <c r="I20" s="95"/>
      <c r="J20" s="95"/>
      <c r="K20" s="36"/>
      <c r="L20" s="36"/>
      <c r="M20" s="36"/>
      <c r="N20" s="36"/>
      <c r="O20" s="36"/>
      <c r="P20" s="36"/>
    </row>
    <row r="21" spans="1:16" s="65" customFormat="1" ht="17.25" thickBot="1">
      <c r="A21" s="38"/>
      <c r="B21" s="58"/>
      <c r="C21" s="59"/>
      <c r="D21" s="59"/>
      <c r="E21" s="59"/>
      <c r="F21" s="60"/>
      <c r="G21" s="61"/>
      <c r="H21" s="61"/>
      <c r="I21" s="62"/>
      <c r="J21" s="62"/>
      <c r="K21" s="63"/>
      <c r="L21" s="63"/>
      <c r="M21" s="64"/>
      <c r="N21" s="64"/>
      <c r="O21" s="64"/>
      <c r="P21" s="64"/>
    </row>
    <row r="22" spans="1:16" s="135" customFormat="1" ht="16.5">
      <c r="A22" s="128"/>
      <c r="B22" s="129"/>
      <c r="C22" s="130" t="s">
        <v>35</v>
      </c>
      <c r="D22" s="129" t="s">
        <v>326</v>
      </c>
      <c r="E22" s="129"/>
      <c r="F22" s="129"/>
      <c r="G22" s="131"/>
      <c r="H22" s="132"/>
      <c r="I22" s="131"/>
      <c r="J22" s="131"/>
      <c r="K22" s="131"/>
      <c r="L22" s="133">
        <f>SUM(L17:L21)</f>
        <v>0</v>
      </c>
      <c r="M22" s="133">
        <f>SUM(M17:M21)</f>
        <v>0</v>
      </c>
      <c r="N22" s="133">
        <f>SUM(N17:N21)</f>
        <v>0</v>
      </c>
      <c r="O22" s="133">
        <f>SUM(O17:O21)</f>
        <v>0</v>
      </c>
      <c r="P22" s="134">
        <f>SUM(M22:O22)</f>
        <v>0</v>
      </c>
    </row>
    <row r="23" spans="1:16" s="28" customFormat="1" ht="16.5">
      <c r="A23" s="343" t="s">
        <v>327</v>
      </c>
      <c r="B23" s="343"/>
      <c r="C23" s="343"/>
      <c r="D23" s="343"/>
      <c r="E23" s="343"/>
      <c r="F23" s="343"/>
      <c r="G23" s="343"/>
      <c r="H23" s="343"/>
      <c r="I23" s="343"/>
      <c r="J23" s="343"/>
      <c r="K23" s="343"/>
      <c r="L23" s="74"/>
      <c r="M23" s="74"/>
      <c r="N23" s="74">
        <f>ROUND(N22*0.05,2)</f>
        <v>0</v>
      </c>
      <c r="O23" s="74"/>
      <c r="P23" s="75">
        <f>SUM(M23:O23)</f>
        <v>0</v>
      </c>
    </row>
    <row r="24" spans="1:16" s="78" customFormat="1" ht="17.25" thickBot="1">
      <c r="A24" s="349" t="s">
        <v>36</v>
      </c>
      <c r="B24" s="349"/>
      <c r="C24" s="349"/>
      <c r="D24" s="349"/>
      <c r="E24" s="349"/>
      <c r="F24" s="349"/>
      <c r="G24" s="349"/>
      <c r="H24" s="349"/>
      <c r="I24" s="349"/>
      <c r="J24" s="349"/>
      <c r="K24" s="349"/>
      <c r="L24" s="76">
        <f>SUM(L22:L23)</f>
        <v>0</v>
      </c>
      <c r="M24" s="76">
        <f>SUM(M22:M23)</f>
        <v>0</v>
      </c>
      <c r="N24" s="76">
        <f>SUM(N22:N23)</f>
        <v>0</v>
      </c>
      <c r="O24" s="76">
        <f>SUM(O22:O23)</f>
        <v>0</v>
      </c>
      <c r="P24" s="77">
        <f>SUM(M24:O24)</f>
        <v>0</v>
      </c>
    </row>
    <row r="25" spans="1:15" s="82" customFormat="1" ht="16.5">
      <c r="A25" s="79"/>
      <c r="B25" s="79"/>
      <c r="C25" s="80"/>
      <c r="D25" s="81"/>
      <c r="E25" s="81"/>
      <c r="F25" s="81"/>
      <c r="G25" s="81"/>
      <c r="H25" s="81"/>
      <c r="I25" s="81"/>
      <c r="J25" s="81"/>
      <c r="K25" s="81"/>
      <c r="L25" s="80"/>
      <c r="M25" s="80"/>
      <c r="N25" s="80"/>
      <c r="O25" s="80"/>
    </row>
    <row r="26" spans="1:15" s="82" customFormat="1" ht="16.5">
      <c r="A26" s="350" t="s">
        <v>310</v>
      </c>
      <c r="B26" s="350"/>
      <c r="C26" s="350"/>
      <c r="D26" s="350"/>
      <c r="E26" s="350"/>
      <c r="F26" s="350"/>
      <c r="G26" s="350"/>
      <c r="H26" s="80"/>
      <c r="I26" s="351" t="s">
        <v>37</v>
      </c>
      <c r="J26" s="351"/>
      <c r="K26" s="351"/>
      <c r="L26" s="351"/>
      <c r="M26" s="351"/>
      <c r="N26" s="351"/>
      <c r="O26" s="351"/>
    </row>
    <row r="27" spans="1:15" s="82" customFormat="1" ht="16.5">
      <c r="A27" s="352" t="s">
        <v>311</v>
      </c>
      <c r="B27" s="352"/>
      <c r="C27" s="352"/>
      <c r="D27" s="83"/>
      <c r="E27" s="83"/>
      <c r="F27" s="83"/>
      <c r="G27" s="83"/>
      <c r="H27" s="80"/>
      <c r="I27" s="353" t="s">
        <v>38</v>
      </c>
      <c r="J27" s="353"/>
      <c r="K27" s="353"/>
      <c r="L27" s="353"/>
      <c r="M27" s="353"/>
      <c r="N27" s="353"/>
      <c r="O27" s="353"/>
    </row>
  </sheetData>
  <sheetProtection/>
  <mergeCells count="29">
    <mergeCell ref="A27:C27"/>
    <mergeCell ref="I27:O27"/>
    <mergeCell ref="E14:E15"/>
    <mergeCell ref="F14:K14"/>
    <mergeCell ref="L14:P14"/>
    <mergeCell ref="A14:A15"/>
    <mergeCell ref="A26:G26"/>
    <mergeCell ref="I26:O26"/>
    <mergeCell ref="A23:K23"/>
    <mergeCell ref="B14:B15"/>
    <mergeCell ref="C14:C15"/>
    <mergeCell ref="D14:D15"/>
    <mergeCell ref="A6:C6"/>
    <mergeCell ref="D6:P6"/>
    <mergeCell ref="A7:C7"/>
    <mergeCell ref="D7:P7"/>
    <mergeCell ref="A12:D12"/>
    <mergeCell ref="A9:B9"/>
    <mergeCell ref="C9:P9"/>
    <mergeCell ref="A24:K24"/>
    <mergeCell ref="O10:P10"/>
    <mergeCell ref="A11:P11"/>
    <mergeCell ref="A1:P1"/>
    <mergeCell ref="A2:P2"/>
    <mergeCell ref="A3:P3"/>
    <mergeCell ref="A5:C5"/>
    <mergeCell ref="D5:P5"/>
    <mergeCell ref="A8:C8"/>
    <mergeCell ref="D8:P8"/>
  </mergeCells>
  <printOptions/>
  <pageMargins left="0.25" right="0.25" top="0.5" bottom="0.5" header="0.3" footer="0.3"/>
  <pageSetup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Reinis</cp:lastModifiedBy>
  <cp:lastPrinted>2012-06-13T03:46:52Z</cp:lastPrinted>
  <dcterms:created xsi:type="dcterms:W3CDTF">2011-05-16T09:43:24Z</dcterms:created>
  <dcterms:modified xsi:type="dcterms:W3CDTF">2014-08-04T11:04:40Z</dcterms:modified>
  <cp:category/>
  <cp:version/>
  <cp:contentType/>
  <cp:contentStatus/>
</cp:coreProperties>
</file>